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elina\Documents\SNHU\ACC 700\"/>
    </mc:Choice>
  </mc:AlternateContent>
  <bookViews>
    <workbookView xWindow="0" yWindow="0" windowWidth="24000" windowHeight="8985" tabRatio="949"/>
  </bookViews>
  <sheets>
    <sheet name="Trial Balance" sheetId="1" r:id="rId1"/>
    <sheet name="Income Statement" sheetId="2" r:id="rId2"/>
    <sheet name="Balance Sheet" sheetId="4" r:id="rId3"/>
    <sheet name="Statement of Retained Earnings" sheetId="3" r:id="rId4"/>
    <sheet name="Statement of Cash Flows" sheetId="5" r:id="rId5"/>
    <sheet name="Statement of Cash Flows AK" sheetId="6" state="hidden" r:id="rId6"/>
    <sheet name="Ratios" sheetId="7" r:id="rId7"/>
    <sheet name="IS Analysis" sheetId="10" r:id="rId8"/>
    <sheet name="BS Analysis" sheetId="8" r:id="rId9"/>
  </sheets>
  <externalReferences>
    <externalReference r:id="rId10"/>
  </externalReferences>
  <definedNames>
    <definedName name="_xlnm.Print_Area" localSheetId="2">'Balance Sheet'!$F$1:$T$43</definedName>
    <definedName name="_xlnm.Print_Area" localSheetId="8">'BS Analysis'!$O$1:$Y$79</definedName>
    <definedName name="_xlnm.Print_Area" localSheetId="1">'Income Statement'!$E$1:$N$53</definedName>
    <definedName name="_xlnm.Print_Area" localSheetId="7">'IS Analysis'!$A$2:$N$52</definedName>
    <definedName name="_xlnm.Print_Area" localSheetId="4">'Statement of Cash Flows'!$F$1:$K$47</definedName>
    <definedName name="_xlnm.Print_Area" localSheetId="5">'Statement of Cash Flows AK'!$F$1:$K$46</definedName>
    <definedName name="_xlnm.Print_Area" localSheetId="3">'Statement of Retained Earnings'!$G$1:$P$10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0" l="1"/>
  <c r="N12" i="10"/>
  <c r="L12" i="10"/>
  <c r="L13" i="10"/>
  <c r="K12" i="10"/>
  <c r="K13" i="10"/>
  <c r="Y21" i="8"/>
  <c r="Y20" i="8"/>
  <c r="N44" i="10"/>
  <c r="X33" i="8"/>
  <c r="X32" i="8"/>
  <c r="V32" i="8"/>
  <c r="V30" i="8"/>
  <c r="V31" i="8"/>
  <c r="V33" i="8"/>
  <c r="Y26" i="8"/>
  <c r="Y18" i="8"/>
  <c r="Y17" i="8"/>
  <c r="Y19" i="8"/>
  <c r="Y16" i="8"/>
  <c r="X17" i="8"/>
  <c r="Y10" i="8"/>
  <c r="Y11" i="8"/>
  <c r="Y12" i="8"/>
  <c r="Y13" i="8"/>
  <c r="X10" i="8"/>
  <c r="X11" i="8"/>
  <c r="X12" i="8"/>
  <c r="X13" i="8"/>
  <c r="W10" i="8"/>
  <c r="W11" i="8"/>
  <c r="W12" i="8"/>
  <c r="V17" i="8"/>
  <c r="V16" i="8"/>
  <c r="W16" i="8"/>
  <c r="W13" i="8"/>
  <c r="V13" i="8"/>
  <c r="X31" i="8"/>
  <c r="V11" i="8"/>
  <c r="V12" i="8"/>
  <c r="V10" i="8"/>
  <c r="X16" i="8"/>
  <c r="X26" i="8"/>
  <c r="V26" i="8"/>
  <c r="X25" i="8"/>
  <c r="V25" i="8"/>
  <c r="X24" i="8"/>
  <c r="Y24" i="8" s="1"/>
  <c r="V24" i="8"/>
  <c r="W24" i="8" s="1"/>
  <c r="X20" i="8"/>
  <c r="W20" i="8"/>
  <c r="V20" i="8"/>
  <c r="X61" i="8"/>
  <c r="Y61" i="8" s="1"/>
  <c r="V61" i="8"/>
  <c r="X57" i="8"/>
  <c r="Y57" i="8" s="1"/>
  <c r="X56" i="8"/>
  <c r="X55" i="8"/>
  <c r="Y56" i="8"/>
  <c r="Y55" i="8"/>
  <c r="V56" i="8"/>
  <c r="W56" i="8" s="1"/>
  <c r="V57" i="8"/>
  <c r="W57" i="8" s="1"/>
  <c r="X52" i="8"/>
  <c r="Y52" i="8" s="1"/>
  <c r="X51" i="8"/>
  <c r="Y51" i="8" s="1"/>
  <c r="V51" i="8"/>
  <c r="W51" i="8" s="1"/>
  <c r="X49" i="8"/>
  <c r="W48" i="8"/>
  <c r="X48" i="8"/>
  <c r="Y48" i="8" s="1"/>
  <c r="V48" i="8"/>
  <c r="V55" i="8"/>
  <c r="D40" i="8"/>
  <c r="B30" i="8"/>
  <c r="B32" i="8"/>
  <c r="B33" i="8"/>
  <c r="C33" i="8"/>
  <c r="D33" i="8"/>
  <c r="B25" i="8"/>
  <c r="D25" i="8"/>
  <c r="D17" i="8"/>
  <c r="B19" i="8"/>
  <c r="B21" i="8"/>
  <c r="C11" i="8"/>
  <c r="B12" i="8"/>
  <c r="D12" i="8"/>
  <c r="C13" i="8"/>
  <c r="B10" i="8"/>
  <c r="V49" i="10"/>
  <c r="V48" i="10"/>
  <c r="V45" i="10"/>
  <c r="V44" i="10"/>
  <c r="T45" i="10"/>
  <c r="T44" i="10"/>
  <c r="R45" i="10"/>
  <c r="R44" i="10"/>
  <c r="R35" i="10"/>
  <c r="V13" i="10"/>
  <c r="T13" i="10"/>
  <c r="R13" i="10"/>
  <c r="J13" i="2"/>
  <c r="V11" i="10"/>
  <c r="T11" i="10"/>
  <c r="R11" i="10"/>
  <c r="V8" i="10"/>
  <c r="V7" i="10"/>
  <c r="V6" i="10"/>
  <c r="T8" i="10"/>
  <c r="T7" i="10"/>
  <c r="T6" i="10"/>
  <c r="R8" i="10"/>
  <c r="R7" i="10"/>
  <c r="R6" i="10"/>
  <c r="M52" i="10"/>
  <c r="N52" i="10" s="1"/>
  <c r="K52" i="10"/>
  <c r="L52" i="10" s="1"/>
  <c r="M45" i="10"/>
  <c r="K45" i="10"/>
  <c r="L45" i="10" s="1"/>
  <c r="J49" i="10"/>
  <c r="G49" i="10"/>
  <c r="E49" i="10"/>
  <c r="G48" i="10"/>
  <c r="H49" i="10" s="1"/>
  <c r="M53" i="10" s="1"/>
  <c r="N53" i="10" s="1"/>
  <c r="E48" i="10"/>
  <c r="F49" i="10" s="1"/>
  <c r="K53" i="10" s="1"/>
  <c r="L53" i="10" s="1"/>
  <c r="J44" i="10"/>
  <c r="M44" i="10" s="1"/>
  <c r="H44" i="10"/>
  <c r="F44" i="10"/>
  <c r="K44" i="10" s="1"/>
  <c r="L44" i="10" s="1"/>
  <c r="I42" i="10"/>
  <c r="J42" i="10" s="1"/>
  <c r="G42" i="10"/>
  <c r="H42" i="10" s="1"/>
  <c r="E42" i="10"/>
  <c r="F42" i="10" s="1"/>
  <c r="I40" i="10"/>
  <c r="G40" i="10"/>
  <c r="I39" i="10"/>
  <c r="G39" i="10"/>
  <c r="E39" i="10"/>
  <c r="I35" i="10"/>
  <c r="M35" i="10" s="1"/>
  <c r="N35" i="10" s="1"/>
  <c r="G35" i="10"/>
  <c r="K35" i="10" s="1"/>
  <c r="I34" i="10"/>
  <c r="M34" i="10" s="1"/>
  <c r="N34" i="10" s="1"/>
  <c r="G34" i="10"/>
  <c r="K34" i="10" s="1"/>
  <c r="L34" i="10" s="1"/>
  <c r="E34" i="10"/>
  <c r="I33" i="10"/>
  <c r="G33" i="10"/>
  <c r="K33" i="10" s="1"/>
  <c r="L33" i="10" s="1"/>
  <c r="E33" i="10"/>
  <c r="I32" i="10"/>
  <c r="M32" i="10" s="1"/>
  <c r="N32" i="10" s="1"/>
  <c r="G32" i="10"/>
  <c r="K32" i="10" s="1"/>
  <c r="L32" i="10" s="1"/>
  <c r="E32" i="10"/>
  <c r="I31" i="10"/>
  <c r="G31" i="10"/>
  <c r="K31" i="10" s="1"/>
  <c r="L31" i="10" s="1"/>
  <c r="E31" i="10"/>
  <c r="I30" i="10"/>
  <c r="M30" i="10" s="1"/>
  <c r="N30" i="10" s="1"/>
  <c r="G30" i="10"/>
  <c r="K30" i="10" s="1"/>
  <c r="L30" i="10" s="1"/>
  <c r="E30" i="10"/>
  <c r="I29" i="10"/>
  <c r="G29" i="10"/>
  <c r="K29" i="10" s="1"/>
  <c r="L29" i="10" s="1"/>
  <c r="E29" i="10"/>
  <c r="I28" i="10"/>
  <c r="M28" i="10" s="1"/>
  <c r="N28" i="10" s="1"/>
  <c r="G28" i="10"/>
  <c r="K28" i="10" s="1"/>
  <c r="L28" i="10" s="1"/>
  <c r="E28" i="10"/>
  <c r="I27" i="10"/>
  <c r="G27" i="10"/>
  <c r="K27" i="10" s="1"/>
  <c r="L27" i="10" s="1"/>
  <c r="E27" i="10"/>
  <c r="I26" i="10"/>
  <c r="M26" i="10" s="1"/>
  <c r="N26" i="10" s="1"/>
  <c r="G26" i="10"/>
  <c r="K26" i="10" s="1"/>
  <c r="L26" i="10" s="1"/>
  <c r="E26" i="10"/>
  <c r="I25" i="10"/>
  <c r="G25" i="10"/>
  <c r="K25" i="10" s="1"/>
  <c r="L25" i="10" s="1"/>
  <c r="E25" i="10"/>
  <c r="I24" i="10"/>
  <c r="M24" i="10" s="1"/>
  <c r="N24" i="10" s="1"/>
  <c r="G24" i="10"/>
  <c r="K24" i="10" s="1"/>
  <c r="L24" i="10" s="1"/>
  <c r="E24" i="10"/>
  <c r="I23" i="10"/>
  <c r="G23" i="10"/>
  <c r="K23" i="10" s="1"/>
  <c r="L23" i="10" s="1"/>
  <c r="E23" i="10"/>
  <c r="I22" i="10"/>
  <c r="M22" i="10" s="1"/>
  <c r="N22" i="10" s="1"/>
  <c r="G22" i="10"/>
  <c r="K22" i="10" s="1"/>
  <c r="L22" i="10" s="1"/>
  <c r="E22" i="10"/>
  <c r="I21" i="10"/>
  <c r="G21" i="10"/>
  <c r="K21" i="10" s="1"/>
  <c r="L21" i="10" s="1"/>
  <c r="E21" i="10"/>
  <c r="I20" i="10"/>
  <c r="M20" i="10" s="1"/>
  <c r="N20" i="10" s="1"/>
  <c r="G20" i="10"/>
  <c r="K20" i="10" s="1"/>
  <c r="L20" i="10" s="1"/>
  <c r="E20" i="10"/>
  <c r="I19" i="10"/>
  <c r="G19" i="10"/>
  <c r="K19" i="10" s="1"/>
  <c r="L19" i="10" s="1"/>
  <c r="E19" i="10"/>
  <c r="I18" i="10"/>
  <c r="M18" i="10" s="1"/>
  <c r="N18" i="10" s="1"/>
  <c r="G18" i="10"/>
  <c r="K18" i="10" s="1"/>
  <c r="L18" i="10" s="1"/>
  <c r="E18" i="10"/>
  <c r="I17" i="10"/>
  <c r="G17" i="10"/>
  <c r="K17" i="10" s="1"/>
  <c r="L17" i="10" s="1"/>
  <c r="E17" i="10"/>
  <c r="I16" i="10"/>
  <c r="M16" i="10" s="1"/>
  <c r="N16" i="10" s="1"/>
  <c r="G16" i="10"/>
  <c r="K16" i="10" s="1"/>
  <c r="L16" i="10" s="1"/>
  <c r="E16" i="10"/>
  <c r="I15" i="10"/>
  <c r="G15" i="10"/>
  <c r="K15" i="10" s="1"/>
  <c r="L15" i="10" s="1"/>
  <c r="E15" i="10"/>
  <c r="J12" i="10"/>
  <c r="G11" i="10"/>
  <c r="H12" i="10" s="1"/>
  <c r="E11" i="10"/>
  <c r="F12" i="10" s="1"/>
  <c r="I7" i="10"/>
  <c r="G7" i="10"/>
  <c r="E7" i="10"/>
  <c r="I6" i="10"/>
  <c r="J7" i="10" s="1"/>
  <c r="J8" i="10" s="1"/>
  <c r="J13" i="10" s="1"/>
  <c r="G6" i="10"/>
  <c r="E6" i="10"/>
  <c r="F7" i="10" s="1"/>
  <c r="F8" i="10" s="1"/>
  <c r="F13" i="10" s="1"/>
  <c r="X69" i="8"/>
  <c r="Y69" i="8" s="1"/>
  <c r="V69" i="8"/>
  <c r="X75" i="8"/>
  <c r="Y75" i="8" s="1"/>
  <c r="V75" i="8"/>
  <c r="W75" i="8" s="1"/>
  <c r="X74" i="8"/>
  <c r="Y74" i="8" s="1"/>
  <c r="V74" i="8"/>
  <c r="W74" i="8" s="1"/>
  <c r="X73" i="8"/>
  <c r="Y73" i="8" s="1"/>
  <c r="V73" i="8"/>
  <c r="W73" i="8" s="1"/>
  <c r="X65" i="8"/>
  <c r="Y65" i="8" s="1"/>
  <c r="V65" i="8"/>
  <c r="W65" i="8" s="1"/>
  <c r="X59" i="8"/>
  <c r="V59" i="8"/>
  <c r="Y59" i="8"/>
  <c r="X44" i="8"/>
  <c r="X45" i="8"/>
  <c r="Y45" i="8" s="1"/>
  <c r="V45" i="8"/>
  <c r="W45" i="8" s="1"/>
  <c r="Y44" i="8"/>
  <c r="V44" i="8"/>
  <c r="X43" i="8"/>
  <c r="Y43" i="8" s="1"/>
  <c r="V43" i="8"/>
  <c r="W43" i="8" s="1"/>
  <c r="V37" i="8"/>
  <c r="W37" i="8" s="1"/>
  <c r="X36" i="8"/>
  <c r="V36" i="8"/>
  <c r="X30" i="8"/>
  <c r="Y30" i="8" s="1"/>
  <c r="W30" i="8"/>
  <c r="X29" i="8"/>
  <c r="Y29" i="8" s="1"/>
  <c r="V29" i="8"/>
  <c r="W29" i="8" s="1"/>
  <c r="X19" i="8"/>
  <c r="V19" i="8"/>
  <c r="W19" i="8" s="1"/>
  <c r="X18" i="8"/>
  <c r="V18" i="8"/>
  <c r="U76" i="8"/>
  <c r="Q76" i="8"/>
  <c r="S76" i="8"/>
  <c r="U70" i="8"/>
  <c r="X70" i="8" s="1"/>
  <c r="Y70" i="8" s="1"/>
  <c r="S70" i="8"/>
  <c r="V70" i="8" s="1"/>
  <c r="U66" i="8"/>
  <c r="S66" i="8"/>
  <c r="Q66" i="8"/>
  <c r="U62" i="8"/>
  <c r="S62" i="8"/>
  <c r="Q62" i="8"/>
  <c r="U57" i="8"/>
  <c r="S57" i="8"/>
  <c r="Q57" i="8"/>
  <c r="U52" i="8"/>
  <c r="S52" i="8"/>
  <c r="Q52" i="8"/>
  <c r="V52" i="8" s="1"/>
  <c r="W52" i="8" s="1"/>
  <c r="U49" i="8"/>
  <c r="S49" i="8"/>
  <c r="Q49" i="8"/>
  <c r="H37" i="4"/>
  <c r="T32" i="8"/>
  <c r="U32" i="8" s="1"/>
  <c r="U33" i="8" s="1"/>
  <c r="S32" i="8"/>
  <c r="S33" i="8" s="1"/>
  <c r="Q32" i="8"/>
  <c r="Q33" i="8" s="1"/>
  <c r="U25" i="8"/>
  <c r="S25" i="8"/>
  <c r="Q25" i="8"/>
  <c r="U21" i="8"/>
  <c r="S21" i="8"/>
  <c r="Q21" i="8"/>
  <c r="U17" i="8"/>
  <c r="S17" i="8"/>
  <c r="Q17" i="8"/>
  <c r="Q13" i="8"/>
  <c r="U13" i="8"/>
  <c r="S13" i="8"/>
  <c r="L32" i="8"/>
  <c r="D32" i="8" s="1"/>
  <c r="L31" i="8"/>
  <c r="D31" i="8" s="1"/>
  <c r="L30" i="8"/>
  <c r="D30" i="8" s="1"/>
  <c r="L29" i="8"/>
  <c r="D29" i="8" s="1"/>
  <c r="K40" i="8"/>
  <c r="C40" i="8" s="1"/>
  <c r="K32" i="8"/>
  <c r="C32" i="8" s="1"/>
  <c r="K31" i="8"/>
  <c r="C31" i="8" s="1"/>
  <c r="K30" i="8"/>
  <c r="C30" i="8" s="1"/>
  <c r="K29" i="8"/>
  <c r="C29" i="8" s="1"/>
  <c r="L20" i="8"/>
  <c r="D20" i="8" s="1"/>
  <c r="L21" i="8"/>
  <c r="D21" i="8" s="1"/>
  <c r="L18" i="8"/>
  <c r="D18" i="8" s="1"/>
  <c r="L19" i="8"/>
  <c r="D19" i="8" s="1"/>
  <c r="L17" i="8"/>
  <c r="L16" i="8"/>
  <c r="D16" i="8" s="1"/>
  <c r="L25" i="8"/>
  <c r="L24" i="8"/>
  <c r="D24" i="8" s="1"/>
  <c r="K25" i="8"/>
  <c r="C25" i="8" s="1"/>
  <c r="K24" i="8"/>
  <c r="C24" i="8" s="1"/>
  <c r="K21" i="8"/>
  <c r="C21" i="8" s="1"/>
  <c r="K20" i="8"/>
  <c r="C20" i="8" s="1"/>
  <c r="K19" i="8"/>
  <c r="C19" i="8" s="1"/>
  <c r="K18" i="8"/>
  <c r="C18" i="8" s="1"/>
  <c r="K17" i="8"/>
  <c r="C17" i="8" s="1"/>
  <c r="K16" i="8"/>
  <c r="C16" i="8" s="1"/>
  <c r="J18" i="8"/>
  <c r="B18" i="8" s="1"/>
  <c r="J40" i="8"/>
  <c r="B40" i="8" s="1"/>
  <c r="J32" i="8"/>
  <c r="J31" i="8"/>
  <c r="B31" i="8" s="1"/>
  <c r="J30" i="8"/>
  <c r="J29" i="8"/>
  <c r="B29" i="8" s="1"/>
  <c r="J25" i="8"/>
  <c r="J24" i="8"/>
  <c r="B24" i="8" s="1"/>
  <c r="J21" i="8"/>
  <c r="J20" i="8"/>
  <c r="B20" i="8" s="1"/>
  <c r="J19" i="8"/>
  <c r="J17" i="8"/>
  <c r="B17" i="8" s="1"/>
  <c r="J16" i="8"/>
  <c r="B16" i="8" s="1"/>
  <c r="L13" i="8"/>
  <c r="D13" i="8" s="1"/>
  <c r="K13" i="8"/>
  <c r="J13" i="8"/>
  <c r="B13" i="8" s="1"/>
  <c r="L12" i="8"/>
  <c r="K12" i="8"/>
  <c r="C12" i="8" s="1"/>
  <c r="J12" i="8"/>
  <c r="L11" i="8"/>
  <c r="D11" i="8" s="1"/>
  <c r="K11" i="8"/>
  <c r="J11" i="8"/>
  <c r="B11" i="8" s="1"/>
  <c r="L10" i="8"/>
  <c r="D10" i="8" s="1"/>
  <c r="D26" i="8" s="1"/>
  <c r="K10" i="8"/>
  <c r="C10" i="8" s="1"/>
  <c r="J10" i="8"/>
  <c r="L41" i="7"/>
  <c r="K41" i="7"/>
  <c r="J41" i="7"/>
  <c r="M15" i="10" l="1"/>
  <c r="N15" i="10" s="1"/>
  <c r="M17" i="10"/>
  <c r="N17" i="10" s="1"/>
  <c r="M19" i="10"/>
  <c r="N19" i="10" s="1"/>
  <c r="M21" i="10"/>
  <c r="N21" i="10" s="1"/>
  <c r="M23" i="10"/>
  <c r="N23" i="10" s="1"/>
  <c r="M25" i="10"/>
  <c r="N25" i="10" s="1"/>
  <c r="M27" i="10"/>
  <c r="N27" i="10" s="1"/>
  <c r="M29" i="10"/>
  <c r="N29" i="10" s="1"/>
  <c r="M31" i="10"/>
  <c r="N31" i="10" s="1"/>
  <c r="M33" i="10"/>
  <c r="N33" i="10" s="1"/>
  <c r="J40" i="10"/>
  <c r="M39" i="10"/>
  <c r="N39" i="10" s="1"/>
  <c r="M40" i="10"/>
  <c r="N40" i="10" s="1"/>
  <c r="K49" i="10"/>
  <c r="L49" i="10" s="1"/>
  <c r="K48" i="10"/>
  <c r="L48" i="10" s="1"/>
  <c r="H40" i="10"/>
  <c r="K39" i="10"/>
  <c r="L39" i="10" s="1"/>
  <c r="M48" i="10"/>
  <c r="N48" i="10" s="1"/>
  <c r="M49" i="10"/>
  <c r="N49" i="10" s="1"/>
  <c r="C26" i="8"/>
  <c r="B26" i="8"/>
  <c r="S26" i="8"/>
  <c r="S39" i="8" s="1"/>
  <c r="V21" i="8"/>
  <c r="W21" i="8" s="1"/>
  <c r="X21" i="8"/>
  <c r="W33" i="8"/>
  <c r="Y33" i="8"/>
  <c r="Y49" i="8"/>
  <c r="V62" i="8"/>
  <c r="W62" i="8" s="1"/>
  <c r="V66" i="8"/>
  <c r="W66" i="8" s="1"/>
  <c r="X66" i="8"/>
  <c r="Y66" i="8" s="1"/>
  <c r="V76" i="8"/>
  <c r="W76" i="8" s="1"/>
  <c r="V49" i="8"/>
  <c r="W49" i="8" s="1"/>
  <c r="X62" i="8"/>
  <c r="Y62" i="8" s="1"/>
  <c r="X76" i="8"/>
  <c r="Y76" i="8" s="1"/>
  <c r="K42" i="10"/>
  <c r="L42" i="10" s="1"/>
  <c r="M42" i="10"/>
  <c r="N42" i="10" s="1"/>
  <c r="M8" i="10"/>
  <c r="N8" i="10" s="1"/>
  <c r="H7" i="10"/>
  <c r="H8" i="10" s="1"/>
  <c r="F36" i="10"/>
  <c r="F37" i="10" s="1"/>
  <c r="J36" i="10"/>
  <c r="H36" i="10"/>
  <c r="K36" i="10" s="1"/>
  <c r="L36" i="10" s="1"/>
  <c r="E40" i="10"/>
  <c r="F40" i="10" s="1"/>
  <c r="W32" i="8"/>
  <c r="K26" i="8"/>
  <c r="J34" i="8"/>
  <c r="B34" i="8" s="1"/>
  <c r="K34" i="8"/>
  <c r="C34" i="8" s="1"/>
  <c r="W17" i="8"/>
  <c r="Y32" i="8"/>
  <c r="Q26" i="8"/>
  <c r="Q39" i="8" s="1"/>
  <c r="V39" i="8" s="1"/>
  <c r="W39" i="8" s="1"/>
  <c r="U26" i="8"/>
  <c r="Q63" i="8"/>
  <c r="Q67" i="8" s="1"/>
  <c r="Q78" i="8" s="1"/>
  <c r="U63" i="8"/>
  <c r="L34" i="8"/>
  <c r="D34" i="8" s="1"/>
  <c r="D35" i="8" s="1"/>
  <c r="S63" i="8"/>
  <c r="V63" i="8" s="1"/>
  <c r="W63" i="8" s="1"/>
  <c r="J26" i="8"/>
  <c r="L26" i="8"/>
  <c r="M36" i="10" l="1"/>
  <c r="K40" i="10"/>
  <c r="L40" i="10" s="1"/>
  <c r="K35" i="8"/>
  <c r="K43" i="8" s="1"/>
  <c r="B35" i="8"/>
  <c r="C35" i="8"/>
  <c r="J35" i="8"/>
  <c r="J43" i="8" s="1"/>
  <c r="F46" i="10"/>
  <c r="F50" i="10" s="1"/>
  <c r="J37" i="10"/>
  <c r="N36" i="10"/>
  <c r="H13" i="10"/>
  <c r="K8" i="10"/>
  <c r="L8" i="10" s="1"/>
  <c r="H37" i="10"/>
  <c r="F51" i="10"/>
  <c r="W26" i="8"/>
  <c r="L35" i="8"/>
  <c r="L43" i="8" s="1"/>
  <c r="S67" i="8"/>
  <c r="U67" i="8"/>
  <c r="X63" i="8"/>
  <c r="Y63" i="8" s="1"/>
  <c r="U39" i="8"/>
  <c r="X39" i="8" s="1"/>
  <c r="Y39" i="8" s="1"/>
  <c r="M37" i="10" l="1"/>
  <c r="H46" i="10"/>
  <c r="K37" i="10"/>
  <c r="L37" i="10" s="1"/>
  <c r="M13" i="10"/>
  <c r="N13" i="10" s="1"/>
  <c r="J46" i="10"/>
  <c r="N37" i="10"/>
  <c r="U78" i="8"/>
  <c r="X67" i="8"/>
  <c r="Y67" i="8" s="1"/>
  <c r="S78" i="8"/>
  <c r="V78" i="8" s="1"/>
  <c r="W78" i="8" s="1"/>
  <c r="V67" i="8"/>
  <c r="W67" i="8" s="1"/>
  <c r="J50" i="10" l="1"/>
  <c r="M46" i="10"/>
  <c r="N46" i="10" s="1"/>
  <c r="H50" i="10"/>
  <c r="K50" i="10" s="1"/>
  <c r="L50" i="10" s="1"/>
  <c r="K46" i="10"/>
  <c r="L46" i="10" s="1"/>
  <c r="X78" i="8"/>
  <c r="Y78" i="8" s="1"/>
  <c r="M50" i="10" l="1"/>
  <c r="H51" i="10"/>
  <c r="N50" i="10"/>
  <c r="J51" i="10"/>
  <c r="M51" i="10" s="1"/>
  <c r="N51" i="10" s="1"/>
  <c r="K51" i="10" l="1"/>
  <c r="L51" i="10" s="1"/>
  <c r="L27" i="7"/>
  <c r="K27" i="7"/>
  <c r="J27" i="7"/>
  <c r="L26" i="7"/>
  <c r="K26" i="7"/>
  <c r="J26" i="7"/>
  <c r="L24" i="7"/>
  <c r="K24" i="7"/>
  <c r="J24" i="7"/>
  <c r="R35" i="4"/>
  <c r="P32" i="4"/>
  <c r="R41" i="4"/>
  <c r="K46" i="7" s="1"/>
  <c r="T41" i="4"/>
  <c r="L46" i="7" s="1"/>
  <c r="P41" i="4"/>
  <c r="J46" i="7" s="1"/>
  <c r="T35" i="4"/>
  <c r="T31" i="4"/>
  <c r="R31" i="4"/>
  <c r="P31" i="4"/>
  <c r="K30" i="4"/>
  <c r="L30" i="4" s="1"/>
  <c r="L31" i="4" s="1"/>
  <c r="J30" i="4"/>
  <c r="J31" i="4" s="1"/>
  <c r="H30" i="4"/>
  <c r="H31" i="4" s="1"/>
  <c r="T27" i="4"/>
  <c r="R27" i="4"/>
  <c r="P27" i="4"/>
  <c r="J24" i="4"/>
  <c r="J37" i="4" s="1"/>
  <c r="L23" i="4"/>
  <c r="J23" i="4"/>
  <c r="H23" i="4"/>
  <c r="T22" i="4"/>
  <c r="R22" i="4"/>
  <c r="P22" i="4"/>
  <c r="L19" i="4"/>
  <c r="J19" i="4"/>
  <c r="H19" i="4"/>
  <c r="T17" i="4"/>
  <c r="R17" i="4"/>
  <c r="P17" i="4"/>
  <c r="L15" i="4"/>
  <c r="J15" i="4"/>
  <c r="H15" i="4"/>
  <c r="T14" i="4"/>
  <c r="T28" i="4" s="1"/>
  <c r="T32" i="4" s="1"/>
  <c r="T43" i="4" s="1"/>
  <c r="R14" i="4"/>
  <c r="R28" i="4" s="1"/>
  <c r="R32" i="4" s="1"/>
  <c r="P14" i="4"/>
  <c r="P28" i="4" s="1"/>
  <c r="L11" i="4"/>
  <c r="L24" i="4" s="1"/>
  <c r="J11" i="4"/>
  <c r="H11" i="4"/>
  <c r="H24" i="4" s="1"/>
  <c r="R43" i="4" l="1"/>
  <c r="H18" i="8"/>
  <c r="H15" i="8"/>
  <c r="H24" i="8"/>
  <c r="H22" i="8"/>
  <c r="H39" i="8"/>
  <c r="H38" i="8"/>
  <c r="H30" i="8"/>
  <c r="H28" i="8"/>
  <c r="H10" i="8"/>
  <c r="H9" i="8"/>
  <c r="H33" i="8"/>
  <c r="H19" i="8"/>
  <c r="H16" i="8"/>
  <c r="H23" i="8"/>
  <c r="H40" i="8"/>
  <c r="H32" i="8"/>
  <c r="H29" i="8"/>
  <c r="H25" i="8"/>
  <c r="H13" i="8"/>
  <c r="P43" i="4"/>
  <c r="G27" i="7"/>
  <c r="G29" i="7"/>
  <c r="G28" i="7"/>
  <c r="P44" i="4"/>
  <c r="L37" i="4"/>
  <c r="T44" i="4" s="1"/>
  <c r="R44" i="4"/>
  <c r="F18" i="8" l="1"/>
  <c r="F15" i="8"/>
  <c r="F24" i="8"/>
  <c r="F22" i="8"/>
  <c r="F39" i="8"/>
  <c r="F38" i="8"/>
  <c r="F30" i="8"/>
  <c r="F28" i="8"/>
  <c r="F25" i="8"/>
  <c r="F10" i="8"/>
  <c r="F33" i="8"/>
  <c r="F19" i="8"/>
  <c r="F16" i="8"/>
  <c r="F23" i="8"/>
  <c r="F40" i="8"/>
  <c r="F32" i="8"/>
  <c r="F34" i="8" s="1"/>
  <c r="F35" i="8" s="1"/>
  <c r="F29" i="8"/>
  <c r="F13" i="8"/>
  <c r="F9" i="8"/>
  <c r="H34" i="8"/>
  <c r="H35" i="8" s="1"/>
  <c r="H41" i="8"/>
  <c r="G33" i="8"/>
  <c r="G25" i="8"/>
  <c r="G19" i="8"/>
  <c r="G16" i="8"/>
  <c r="G23" i="8"/>
  <c r="G40" i="8"/>
  <c r="G32" i="8"/>
  <c r="G34" i="8" s="1"/>
  <c r="G29" i="8"/>
  <c r="G13" i="8"/>
  <c r="G18" i="8"/>
  <c r="G15" i="8"/>
  <c r="G24" i="8"/>
  <c r="G22" i="8"/>
  <c r="G39" i="8"/>
  <c r="G38" i="8"/>
  <c r="G41" i="8" s="1"/>
  <c r="G30" i="8"/>
  <c r="G28" i="8"/>
  <c r="G10" i="8"/>
  <c r="G9" i="8"/>
  <c r="H43" i="5"/>
  <c r="I26" i="5"/>
  <c r="G20" i="5"/>
  <c r="K19" i="5"/>
  <c r="I19" i="5"/>
  <c r="K18" i="5"/>
  <c r="I18" i="5"/>
  <c r="G18" i="5"/>
  <c r="K17" i="5"/>
  <c r="I17" i="5"/>
  <c r="G17" i="5"/>
  <c r="K16" i="5"/>
  <c r="I16" i="5"/>
  <c r="G16" i="5"/>
  <c r="K15" i="5"/>
  <c r="I15" i="5"/>
  <c r="K14" i="5"/>
  <c r="I14" i="5"/>
  <c r="G14" i="5"/>
  <c r="K13" i="5"/>
  <c r="I13" i="5"/>
  <c r="G13" i="5"/>
  <c r="K12" i="5"/>
  <c r="I12" i="5"/>
  <c r="G12" i="5"/>
  <c r="I11" i="5"/>
  <c r="G11" i="5"/>
  <c r="K10" i="5"/>
  <c r="L19" i="7"/>
  <c r="K19" i="7"/>
  <c r="J19" i="7"/>
  <c r="G35" i="8" l="1"/>
  <c r="G43" i="8" s="1"/>
  <c r="F41" i="8"/>
  <c r="F43" i="8" s="1"/>
  <c r="H43" i="8"/>
  <c r="K37" i="5"/>
  <c r="J37" i="5"/>
  <c r="I37" i="5"/>
  <c r="H37" i="5"/>
  <c r="G35" i="5"/>
  <c r="G37" i="5" s="1"/>
  <c r="K32" i="5"/>
  <c r="G32" i="5"/>
  <c r="I32" i="5"/>
  <c r="I13" i="6" l="1"/>
  <c r="I15" i="6"/>
  <c r="I22" i="6"/>
  <c r="L22" i="6" s="1"/>
  <c r="M40" i="6"/>
  <c r="L40" i="6"/>
  <c r="I14" i="6"/>
  <c r="L11" i="7" l="1"/>
  <c r="K46" i="6"/>
  <c r="J40" i="6"/>
  <c r="H40" i="6"/>
  <c r="K40" i="6"/>
  <c r="I39" i="6"/>
  <c r="I40" i="6" s="1"/>
  <c r="G38" i="6"/>
  <c r="G40" i="6" s="1"/>
  <c r="K35" i="6"/>
  <c r="I35" i="6"/>
  <c r="G35" i="6"/>
  <c r="K21" i="6"/>
  <c r="I21" i="6"/>
  <c r="K20" i="6"/>
  <c r="G20" i="6"/>
  <c r="I19" i="6"/>
  <c r="G18" i="6"/>
  <c r="K17" i="6"/>
  <c r="K16" i="6"/>
  <c r="G15" i="6"/>
  <c r="K14" i="6"/>
  <c r="G14" i="6"/>
  <c r="G9" i="6"/>
  <c r="K5" i="7"/>
  <c r="K15" i="6"/>
  <c r="K19" i="6"/>
  <c r="G19" i="6"/>
  <c r="G13" i="6"/>
  <c r="K11" i="7"/>
  <c r="J6" i="3"/>
  <c r="N49" i="2"/>
  <c r="K49" i="2"/>
  <c r="T49" i="10" s="1"/>
  <c r="I49" i="2"/>
  <c r="R49" i="10" s="1"/>
  <c r="K48" i="2"/>
  <c r="I48" i="2"/>
  <c r="N44" i="2"/>
  <c r="L31" i="7" s="1"/>
  <c r="L44" i="2"/>
  <c r="K31" i="7" s="1"/>
  <c r="J44" i="2"/>
  <c r="J31" i="7" s="1"/>
  <c r="M42" i="2"/>
  <c r="K42" i="2"/>
  <c r="I42" i="2"/>
  <c r="M40" i="2"/>
  <c r="V40" i="10" s="1"/>
  <c r="K40" i="2"/>
  <c r="T40" i="10" s="1"/>
  <c r="M39" i="2"/>
  <c r="K39" i="2"/>
  <c r="I39" i="2"/>
  <c r="R39" i="10" s="1"/>
  <c r="M35" i="2"/>
  <c r="V35" i="10" s="1"/>
  <c r="K35" i="2"/>
  <c r="T35" i="10" s="1"/>
  <c r="H35" i="2"/>
  <c r="M34" i="2"/>
  <c r="V34" i="10" s="1"/>
  <c r="K34" i="2"/>
  <c r="T34" i="10" s="1"/>
  <c r="I34" i="2"/>
  <c r="R34" i="10" s="1"/>
  <c r="M33" i="2"/>
  <c r="V33" i="10" s="1"/>
  <c r="K33" i="2"/>
  <c r="T33" i="10" s="1"/>
  <c r="I33" i="2"/>
  <c r="R33" i="10" s="1"/>
  <c r="M32" i="2"/>
  <c r="V32" i="10" s="1"/>
  <c r="K32" i="2"/>
  <c r="T32" i="10" s="1"/>
  <c r="I32" i="2"/>
  <c r="R32" i="10" s="1"/>
  <c r="M31" i="2"/>
  <c r="V31" i="10" s="1"/>
  <c r="K31" i="2"/>
  <c r="T31" i="10" s="1"/>
  <c r="I31" i="2"/>
  <c r="R31" i="10" s="1"/>
  <c r="M30" i="2"/>
  <c r="V30" i="10" s="1"/>
  <c r="K30" i="2"/>
  <c r="T30" i="10" s="1"/>
  <c r="I30" i="2"/>
  <c r="R30" i="10" s="1"/>
  <c r="M29" i="2"/>
  <c r="V29" i="10" s="1"/>
  <c r="K29" i="2"/>
  <c r="T29" i="10" s="1"/>
  <c r="I29" i="2"/>
  <c r="R29" i="10" s="1"/>
  <c r="M28" i="2"/>
  <c r="V28" i="10" s="1"/>
  <c r="K28" i="2"/>
  <c r="T28" i="10" s="1"/>
  <c r="I28" i="2"/>
  <c r="R28" i="10" s="1"/>
  <c r="M27" i="2"/>
  <c r="V27" i="10" s="1"/>
  <c r="K27" i="2"/>
  <c r="T27" i="10" s="1"/>
  <c r="I27" i="2"/>
  <c r="R27" i="10" s="1"/>
  <c r="M26" i="2"/>
  <c r="V26" i="10" s="1"/>
  <c r="K26" i="2"/>
  <c r="T26" i="10" s="1"/>
  <c r="I26" i="2"/>
  <c r="R26" i="10" s="1"/>
  <c r="M25" i="2"/>
  <c r="V25" i="10" s="1"/>
  <c r="K25" i="2"/>
  <c r="T25" i="10" s="1"/>
  <c r="I25" i="2"/>
  <c r="R25" i="10" s="1"/>
  <c r="M24" i="2"/>
  <c r="V24" i="10" s="1"/>
  <c r="K24" i="2"/>
  <c r="T24" i="10" s="1"/>
  <c r="I24" i="2"/>
  <c r="R24" i="10" s="1"/>
  <c r="M23" i="2"/>
  <c r="V23" i="10" s="1"/>
  <c r="K23" i="2"/>
  <c r="T23" i="10" s="1"/>
  <c r="I23" i="2"/>
  <c r="R23" i="10" s="1"/>
  <c r="M22" i="2"/>
  <c r="V22" i="10" s="1"/>
  <c r="K22" i="2"/>
  <c r="T22" i="10" s="1"/>
  <c r="I22" i="2"/>
  <c r="R22" i="10" s="1"/>
  <c r="M21" i="2"/>
  <c r="V21" i="10" s="1"/>
  <c r="K21" i="2"/>
  <c r="I21" i="2"/>
  <c r="R21" i="10" s="1"/>
  <c r="M20" i="2"/>
  <c r="V20" i="10" s="1"/>
  <c r="K20" i="2"/>
  <c r="T20" i="10" s="1"/>
  <c r="I20" i="2"/>
  <c r="R20" i="10" s="1"/>
  <c r="M19" i="2"/>
  <c r="V19" i="10" s="1"/>
  <c r="K19" i="2"/>
  <c r="T19" i="10" s="1"/>
  <c r="I19" i="2"/>
  <c r="R19" i="10" s="1"/>
  <c r="M18" i="2"/>
  <c r="V18" i="10" s="1"/>
  <c r="K18" i="2"/>
  <c r="T18" i="10" s="1"/>
  <c r="I18" i="2"/>
  <c r="R18" i="10" s="1"/>
  <c r="M17" i="2"/>
  <c r="V17" i="10" s="1"/>
  <c r="K17" i="2"/>
  <c r="T17" i="10" s="1"/>
  <c r="I17" i="2"/>
  <c r="R17" i="10" s="1"/>
  <c r="M16" i="2"/>
  <c r="V16" i="10" s="1"/>
  <c r="K16" i="2"/>
  <c r="T16" i="10" s="1"/>
  <c r="I16" i="2"/>
  <c r="R16" i="10" s="1"/>
  <c r="M15" i="2"/>
  <c r="V15" i="10" s="1"/>
  <c r="V36" i="10" s="1"/>
  <c r="V37" i="10" s="1"/>
  <c r="K15" i="2"/>
  <c r="T15" i="10" s="1"/>
  <c r="I15" i="2"/>
  <c r="R15" i="10" s="1"/>
  <c r="R36" i="10" s="1"/>
  <c r="R37" i="10" s="1"/>
  <c r="N12" i="2"/>
  <c r="L18" i="7" s="1"/>
  <c r="K11" i="2"/>
  <c r="L12" i="2" s="1"/>
  <c r="K18" i="7" s="1"/>
  <c r="G19" i="7" s="1"/>
  <c r="I11" i="2"/>
  <c r="J12" i="2" s="1"/>
  <c r="J18" i="7" s="1"/>
  <c r="G18" i="7" s="1"/>
  <c r="M7" i="2"/>
  <c r="K7" i="2"/>
  <c r="I7" i="2"/>
  <c r="M6" i="2"/>
  <c r="I6" i="2"/>
  <c r="J7" i="2" s="1"/>
  <c r="J8" i="2" s="1"/>
  <c r="C41" i="1"/>
  <c r="K6" i="2" s="1"/>
  <c r="L7" i="2" s="1"/>
  <c r="L8" i="2" s="1"/>
  <c r="K36" i="7" s="1"/>
  <c r="D31" i="1"/>
  <c r="L40" i="2" l="1"/>
  <c r="T39" i="10"/>
  <c r="J42" i="2"/>
  <c r="R42" i="10"/>
  <c r="N42" i="2"/>
  <c r="V42" i="10"/>
  <c r="J49" i="2"/>
  <c r="R48" i="10"/>
  <c r="I10" i="5"/>
  <c r="T21" i="10"/>
  <c r="T36" i="10" s="1"/>
  <c r="T37" i="10" s="1"/>
  <c r="T46" i="10" s="1"/>
  <c r="T50" i="10" s="1"/>
  <c r="N40" i="2"/>
  <c r="V39" i="10"/>
  <c r="V46" i="10" s="1"/>
  <c r="V50" i="10" s="1"/>
  <c r="L42" i="2"/>
  <c r="T42" i="10"/>
  <c r="L49" i="2"/>
  <c r="I25" i="6" s="1"/>
  <c r="T48" i="10"/>
  <c r="J36" i="7"/>
  <c r="J36" i="2"/>
  <c r="I12" i="6"/>
  <c r="K12" i="6"/>
  <c r="I40" i="2"/>
  <c r="L13" i="2"/>
  <c r="N7" i="2"/>
  <c r="N8" i="2" s="1"/>
  <c r="L36" i="2"/>
  <c r="N36" i="2"/>
  <c r="J6" i="7"/>
  <c r="J12" i="7" s="1"/>
  <c r="L6" i="7"/>
  <c r="L12" i="7" s="1"/>
  <c r="G14" i="7" s="1"/>
  <c r="L37" i="2"/>
  <c r="O13" i="2"/>
  <c r="O36" i="2"/>
  <c r="K6" i="7"/>
  <c r="K12" i="7" s="1"/>
  <c r="G13" i="7" s="1"/>
  <c r="G25" i="6"/>
  <c r="K25" i="6"/>
  <c r="J5" i="7"/>
  <c r="L5" i="7"/>
  <c r="I18" i="6"/>
  <c r="I20" i="6"/>
  <c r="I16" i="6"/>
  <c r="G22" i="6"/>
  <c r="K22" i="6"/>
  <c r="G16" i="6"/>
  <c r="K18" i="6"/>
  <c r="J11" i="7"/>
  <c r="J40" i="2" l="1"/>
  <c r="R40" i="10"/>
  <c r="R46" i="10" s="1"/>
  <c r="R50" i="10" s="1"/>
  <c r="N13" i="2"/>
  <c r="N37" i="2" s="1"/>
  <c r="N46" i="2" s="1"/>
  <c r="N50" i="2" s="1"/>
  <c r="L36" i="7"/>
  <c r="J37" i="2"/>
  <c r="J30" i="7" s="1"/>
  <c r="G31" i="7" s="1"/>
  <c r="L30" i="7"/>
  <c r="G33" i="7" s="1"/>
  <c r="L46" i="2"/>
  <c r="K30" i="7"/>
  <c r="G32" i="7" s="1"/>
  <c r="G7" i="7"/>
  <c r="J46" i="2"/>
  <c r="J50" i="2" s="1"/>
  <c r="G20" i="7"/>
  <c r="G9" i="7"/>
  <c r="J38" i="2"/>
  <c r="L50" i="2"/>
  <c r="G12" i="7"/>
  <c r="G8" i="7"/>
  <c r="K7" i="5" l="1"/>
  <c r="L45" i="7"/>
  <c r="G50" i="7" s="1"/>
  <c r="L40" i="7"/>
  <c r="G43" i="7" s="1"/>
  <c r="L35" i="7"/>
  <c r="G38" i="7" s="1"/>
  <c r="O50" i="2"/>
  <c r="N51" i="2"/>
  <c r="G7" i="5"/>
  <c r="G22" i="5" s="1"/>
  <c r="G23" i="5" s="1"/>
  <c r="J40" i="7"/>
  <c r="G41" i="7" s="1"/>
  <c r="J45" i="7"/>
  <c r="G48" i="7" s="1"/>
  <c r="J35" i="7"/>
  <c r="G36" i="7" s="1"/>
  <c r="K45" i="7"/>
  <c r="G49" i="7" s="1"/>
  <c r="K40" i="7"/>
  <c r="G42" i="7" s="1"/>
  <c r="K35" i="7"/>
  <c r="G37" i="7" s="1"/>
  <c r="G7" i="6"/>
  <c r="G24" i="6" s="1"/>
  <c r="G26" i="6" s="1"/>
  <c r="G42" i="6" s="1"/>
  <c r="I7" i="6"/>
  <c r="I24" i="6" s="1"/>
  <c r="I7" i="5"/>
  <c r="I22" i="5" s="1"/>
  <c r="I23" i="5" s="1"/>
  <c r="N60" i="2"/>
  <c r="K7" i="6"/>
  <c r="K24" i="6" s="1"/>
  <c r="K26" i="6" s="1"/>
  <c r="K42" i="6" s="1"/>
  <c r="G39" i="5"/>
  <c r="G43" i="5" s="1"/>
  <c r="G47" i="5" s="1"/>
  <c r="I45" i="5" s="1"/>
  <c r="J23" i="7"/>
  <c r="G23" i="7" s="1"/>
  <c r="J7" i="3"/>
  <c r="J9" i="3" s="1"/>
  <c r="J51" i="2"/>
  <c r="J60" i="2"/>
  <c r="J62" i="2" s="1"/>
  <c r="L59" i="2" s="1"/>
  <c r="K27" i="6"/>
  <c r="L60" i="2"/>
  <c r="L7" i="3"/>
  <c r="I26" i="6"/>
  <c r="I42" i="6" s="1"/>
  <c r="L51" i="2"/>
  <c r="L62" i="2"/>
  <c r="N59" i="2" s="1"/>
  <c r="N62" i="2" s="1"/>
  <c r="L6" i="3"/>
  <c r="K22" i="5" l="1"/>
  <c r="K23" i="5" s="1"/>
  <c r="K23" i="7"/>
  <c r="G24" i="7" s="1"/>
  <c r="I39" i="5"/>
  <c r="I43" i="5" s="1"/>
  <c r="C39" i="1"/>
  <c r="L9" i="3"/>
  <c r="L23" i="7" l="1"/>
  <c r="G25" i="7" s="1"/>
  <c r="K39" i="5"/>
  <c r="I47" i="5"/>
  <c r="K45" i="5" s="1"/>
  <c r="K41" i="5"/>
  <c r="K43" i="5" s="1"/>
  <c r="N6" i="3"/>
  <c r="K47" i="5" l="1"/>
  <c r="N9" i="3"/>
  <c r="D39" i="1"/>
</calcChain>
</file>

<file path=xl/sharedStrings.xml><?xml version="1.0" encoding="utf-8"?>
<sst xmlns="http://schemas.openxmlformats.org/spreadsheetml/2006/main" count="635" uniqueCount="269">
  <si>
    <t>Chester, Inc.</t>
  </si>
  <si>
    <t>Trial Balances for years ending December 31, 2013, 2014 and 2015</t>
  </si>
  <si>
    <t>Account Description</t>
  </si>
  <si>
    <t>Cash on Hand</t>
  </si>
  <si>
    <t>Checking Account - Operating</t>
  </si>
  <si>
    <t>MMKT Accounts</t>
  </si>
  <si>
    <t>Investments - Trading</t>
  </si>
  <si>
    <t>Accounts Receivable</t>
  </si>
  <si>
    <t>Allowance for Doubtful Accounts</t>
  </si>
  <si>
    <t>Other Receivables</t>
  </si>
  <si>
    <t>Inventory</t>
  </si>
  <si>
    <t>Reserve for Inventory Obsolescence</t>
  </si>
  <si>
    <t>Prepaid Insurance</t>
  </si>
  <si>
    <t>Prepaid Rent</t>
  </si>
  <si>
    <t>Office Supplies</t>
  </si>
  <si>
    <t>Land</t>
  </si>
  <si>
    <t>Buildings and Land Improvements</t>
  </si>
  <si>
    <t>Machinery, Equipment, Office Furniture</t>
  </si>
  <si>
    <t>Accum. Depreciation</t>
  </si>
  <si>
    <t>Other Noncurrent Assets</t>
  </si>
  <si>
    <t>Accounts Payable</t>
  </si>
  <si>
    <t>Wages Payable</t>
  </si>
  <si>
    <t>FICA Employee Withholding</t>
  </si>
  <si>
    <t>Medicare Withholding</t>
  </si>
  <si>
    <t>Federal Payroll Taxes Payable</t>
  </si>
  <si>
    <t>State Payroll Taxes Payable</t>
  </si>
  <si>
    <t>FICA Employer Withholding</t>
  </si>
  <si>
    <t>Medicare Employer Withholding</t>
  </si>
  <si>
    <t>Income Taxes Receivable/Payable</t>
  </si>
  <si>
    <t>Line of Credit</t>
  </si>
  <si>
    <t>Current Portion LT Note Payable</t>
  </si>
  <si>
    <t>Interest payable</t>
  </si>
  <si>
    <t>Bonuses payable</t>
  </si>
  <si>
    <t>Dividend payable</t>
  </si>
  <si>
    <t>Long-Term Note Payable</t>
  </si>
  <si>
    <t>Common Stock</t>
  </si>
  <si>
    <t>Paid-in Capital</t>
  </si>
  <si>
    <t>Retained Earnings (Beginning Balance)</t>
  </si>
  <si>
    <t xml:space="preserve">Dividends </t>
  </si>
  <si>
    <t xml:space="preserve">Sales </t>
  </si>
  <si>
    <t>Sales Returns</t>
  </si>
  <si>
    <t>Income from Investments</t>
  </si>
  <si>
    <t>Unrealized (Gains) and Losses - Investments</t>
  </si>
  <si>
    <t>Interest Income</t>
  </si>
  <si>
    <t xml:space="preserve">Cost of Goods Sold </t>
  </si>
  <si>
    <t>Administrative Wages Expense</t>
  </si>
  <si>
    <t>Advertising Expense</t>
  </si>
  <si>
    <t>Auto Expenses</t>
  </si>
  <si>
    <t>Bad Debt Expense</t>
  </si>
  <si>
    <t>Bonus Expense</t>
  </si>
  <si>
    <t>Depreciation Expense</t>
  </si>
  <si>
    <t>Freight</t>
  </si>
  <si>
    <t>Insurance Expense</t>
  </si>
  <si>
    <t>Legal and Professional Expense</t>
  </si>
  <si>
    <t>Maintenance Expense</t>
  </si>
  <si>
    <t>Miscellaneous Office Expense</t>
  </si>
  <si>
    <t>Payroll Tax Expense</t>
  </si>
  <si>
    <t>Pension/Profit-Sharing Plan Ex</t>
  </si>
  <si>
    <t>Phone</t>
  </si>
  <si>
    <t>Postal</t>
  </si>
  <si>
    <t>Property Tax Expense</t>
  </si>
  <si>
    <t>Rent or Lease Expense</t>
  </si>
  <si>
    <t>Research and Development</t>
  </si>
  <si>
    <t>Utilities</t>
  </si>
  <si>
    <t>Warehouse Salaries</t>
  </si>
  <si>
    <t>Warranty Expense</t>
  </si>
  <si>
    <t>Interest Expense</t>
  </si>
  <si>
    <t>Income Tax Expense - Federal</t>
  </si>
  <si>
    <t>Income Tax Expense - State</t>
  </si>
  <si>
    <t>Loss on Legal Settlement</t>
  </si>
  <si>
    <t>Use this worksheet to prepare a Multi-step Income Statement to include EPS</t>
  </si>
  <si>
    <t>Check Figures:</t>
  </si>
  <si>
    <t>Income Statement for years ending December 31, 2013, 2014 and 2015</t>
  </si>
  <si>
    <t>2015 Net Income</t>
  </si>
  <si>
    <t>2014 Gross Profit</t>
  </si>
  <si>
    <t>Revenue</t>
  </si>
  <si>
    <t>2013 Total Expenses</t>
  </si>
  <si>
    <t>Sales</t>
  </si>
  <si>
    <t>Less: Sales return</t>
  </si>
  <si>
    <t>Net Sales</t>
  </si>
  <si>
    <t>Cost of Sales</t>
  </si>
  <si>
    <t>Gross Profit</t>
  </si>
  <si>
    <t>Bal Check</t>
  </si>
  <si>
    <t>Operating Exenses</t>
  </si>
  <si>
    <t>Bonus expense</t>
  </si>
  <si>
    <t>Total Operating Expenses</t>
  </si>
  <si>
    <t>Income from operations</t>
  </si>
  <si>
    <t>Other revenue</t>
  </si>
  <si>
    <t>Income Before Other Gains and Losses</t>
  </si>
  <si>
    <t>Other Expenses</t>
  </si>
  <si>
    <t>Income before tax</t>
  </si>
  <si>
    <t>Income tax</t>
  </si>
  <si>
    <t>Net Income</t>
  </si>
  <si>
    <t>EPS</t>
  </si>
  <si>
    <t>Number of shares</t>
  </si>
  <si>
    <t>Retained Earnings Statement</t>
  </si>
  <si>
    <t>Retained Earnings (Opening)</t>
  </si>
  <si>
    <t>Add:Net Income</t>
  </si>
  <si>
    <t>Less:Dividend declared</t>
  </si>
  <si>
    <t>Retained Earnings (Closing)</t>
  </si>
  <si>
    <t>Use this worksheet to complete a Statement of Retained Earnings</t>
  </si>
  <si>
    <t>Statement of Retained Earnings years ending December 31, 2013, 2014 and 2015</t>
  </si>
  <si>
    <t>2015 Shareholders' Equity</t>
  </si>
  <si>
    <t xml:space="preserve">Retained Earnings, January 1, </t>
  </si>
  <si>
    <t>2014 Shareholders' Equity</t>
  </si>
  <si>
    <t>2013 Shareholders' Equity</t>
  </si>
  <si>
    <t>Dividend declared</t>
  </si>
  <si>
    <t>Retained Earnings, December 31,</t>
  </si>
  <si>
    <t>Use this worksheet to complete a Classified Balance Sheet</t>
  </si>
  <si>
    <t>Balance Statement for years ending December 31, 2013, 2014 and 2015</t>
  </si>
  <si>
    <t>ASSETS</t>
  </si>
  <si>
    <t>LIABILITIES</t>
  </si>
  <si>
    <t>2015 Total Current Assets</t>
  </si>
  <si>
    <t>Current Assets:</t>
  </si>
  <si>
    <t>Current Liabilities:</t>
  </si>
  <si>
    <t>2014 Current Liabilities</t>
  </si>
  <si>
    <t>Cash &amp; Cash Equivalents</t>
  </si>
  <si>
    <t>2103 Total Assets</t>
  </si>
  <si>
    <t xml:space="preserve">Interest payable </t>
  </si>
  <si>
    <t>Employee Payroll Withholdings (Deductions)</t>
  </si>
  <si>
    <t>Trade and other receivables</t>
  </si>
  <si>
    <t>Less: Allowance for Doubtful Accounts</t>
  </si>
  <si>
    <t>Employer Provided Benefits</t>
  </si>
  <si>
    <t>Inventories</t>
  </si>
  <si>
    <t>Less: Reserve for Inventory Obsolescence</t>
  </si>
  <si>
    <t>Income Taxes Payable</t>
  </si>
  <si>
    <t>Income Tax</t>
  </si>
  <si>
    <t>Prepaid Expenses</t>
  </si>
  <si>
    <t>Total Current Assets</t>
  </si>
  <si>
    <t>Current Portion of LT Debt</t>
  </si>
  <si>
    <t>Other Accruals Payable</t>
  </si>
  <si>
    <t>Non-Current Assets:</t>
  </si>
  <si>
    <t>Non-current Liabilities:</t>
  </si>
  <si>
    <t>Less: Accumulated Depreciation</t>
  </si>
  <si>
    <t>Total Non-Current Assets</t>
  </si>
  <si>
    <t>Total Non-current Liabilities</t>
  </si>
  <si>
    <t>Total Current Liabilities</t>
  </si>
  <si>
    <t>Long-term Liabilities</t>
  </si>
  <si>
    <t>Intangible Assets:</t>
  </si>
  <si>
    <t>Long-term Note Payable</t>
  </si>
  <si>
    <t>Other Non-current Assets:</t>
  </si>
  <si>
    <t>TOTAL ASSETS</t>
  </si>
  <si>
    <t>Shareholders EQUITY:</t>
  </si>
  <si>
    <t>Retained Earnings</t>
  </si>
  <si>
    <t>TOTAL EQUITY</t>
  </si>
  <si>
    <t>TOTAL LIABILITIES &amp; EQUITY</t>
  </si>
  <si>
    <t>CK</t>
  </si>
  <si>
    <t>Use this Worksheet to complete a Statement of Cash Flows</t>
  </si>
  <si>
    <t>Statement of Cash Flows for years ending December 31, 2013, 2014 and 2015</t>
  </si>
  <si>
    <t>© www.excel-skills.com</t>
  </si>
  <si>
    <t>2015 Net Cash from Operating Activities</t>
  </si>
  <si>
    <t>Cash flows from operating activities</t>
  </si>
  <si>
    <t>2014 Net Cash from Investing Activities</t>
  </si>
  <si>
    <t>2015 Net Increase (Decrease) in Cash</t>
  </si>
  <si>
    <t>Adjustments for:</t>
  </si>
  <si>
    <t>Working capital changes:</t>
  </si>
  <si>
    <t>(Increase) / Decrease in supplies</t>
  </si>
  <si>
    <t>(Increase) / (Decrease) in inventories</t>
  </si>
  <si>
    <t>(Increase) / (Decrease) in prepaid expenses</t>
  </si>
  <si>
    <t>Increase / (Decrease) in interest payables</t>
  </si>
  <si>
    <t>Increase / (Decrease) in Employee Payroll Withholdings</t>
  </si>
  <si>
    <t>Increase / (Decrease) in Employer Provided Benefits</t>
  </si>
  <si>
    <t>Increase / (Decrease) in taxes payable</t>
  </si>
  <si>
    <t>Increase / (Decrease) in current portion of long term debt</t>
  </si>
  <si>
    <t>Increase / (Decrease) in other payable</t>
  </si>
  <si>
    <t>Cash generated from operations</t>
  </si>
  <si>
    <t>Income taxes paid</t>
  </si>
  <si>
    <t>Net cash from operating activities</t>
  </si>
  <si>
    <t>Cash flows from investing activities</t>
  </si>
  <si>
    <t>(Purchase)/Sale of non current assest</t>
  </si>
  <si>
    <t xml:space="preserve">(Purchase)Sale of land </t>
  </si>
  <si>
    <t>(Purchase)Sale of land improvements</t>
  </si>
  <si>
    <t>(Purchase) of  equipment</t>
  </si>
  <si>
    <t>(Purchase) of  investment</t>
  </si>
  <si>
    <t>Profit / (Loss) on the sale of investments</t>
  </si>
  <si>
    <t>Net cash used in investing activities</t>
  </si>
  <si>
    <t>Cash flows from financing activities</t>
  </si>
  <si>
    <t>Proceeds from issue of share capital</t>
  </si>
  <si>
    <t>Proceeds/(Payment) for line of credit</t>
  </si>
  <si>
    <t>Net cash used in financing activities</t>
  </si>
  <si>
    <t>Net increase in cash and cash equivalents</t>
  </si>
  <si>
    <t>Cash and cash equivalents at beginning of period</t>
  </si>
  <si>
    <t>Cash and cash equivalents at end of period</t>
  </si>
  <si>
    <t>(Increase) / Decrease in trade receivables</t>
  </si>
  <si>
    <t>Calculate and Present at least three Liquidity, Solvency and Profitability Ratios in this Worksheet</t>
  </si>
  <si>
    <t>Financial diagnostic categories</t>
  </si>
  <si>
    <t>Chester Inc</t>
  </si>
  <si>
    <t>Current Assets</t>
  </si>
  <si>
    <t>1.)   Liquidity Ratio</t>
  </si>
  <si>
    <t>Year</t>
  </si>
  <si>
    <t>-Current ratio</t>
  </si>
  <si>
    <t xml:space="preserve">Current Liabilties </t>
  </si>
  <si>
    <t>Cash+Short Term Investments + Receivables</t>
  </si>
  <si>
    <t>Quick Ratio</t>
  </si>
  <si>
    <t>2.)   Solvency Ratio</t>
  </si>
  <si>
    <t>Cash debt coverage ratio</t>
  </si>
  <si>
    <t>Debt-to total asset ratio</t>
  </si>
  <si>
    <t>-Times interest earned</t>
  </si>
  <si>
    <t>3.)   Profitability</t>
  </si>
  <si>
    <t>-Net income/sales (profit margin)</t>
  </si>
  <si>
    <t>-Net income/assets (ROA)</t>
  </si>
  <si>
    <t>-Net income/shareholder equity  (ROE)</t>
  </si>
  <si>
    <t>Complete a Horizontal and Vertical Analysis of the Balance Sheet in this worksheet.</t>
  </si>
  <si>
    <t>Complete a Horizontal and Vertical Analysis of the Income Statement in this worksheet.</t>
  </si>
  <si>
    <t>(Increase) / Decrease in depreciation expense</t>
  </si>
  <si>
    <t>(Increase) / Decrease in account receivables</t>
  </si>
  <si>
    <t xml:space="preserve"> </t>
  </si>
  <si>
    <t>Inventory Turnover</t>
  </si>
  <si>
    <t>COGS</t>
  </si>
  <si>
    <t>Inventory Obs</t>
  </si>
  <si>
    <t>Net Cash from Op Activities</t>
  </si>
  <si>
    <t>Total Liabilities</t>
  </si>
  <si>
    <t>Total Assets</t>
  </si>
  <si>
    <t>TOTAL LIABILITIES</t>
  </si>
  <si>
    <t>Income from Operations</t>
  </si>
  <si>
    <t>Interest</t>
  </si>
  <si>
    <t>Net income</t>
  </si>
  <si>
    <t>Total Equity</t>
  </si>
  <si>
    <t>Inventory turnover shows the selling position of the firm.</t>
  </si>
  <si>
    <t>A higher current cash debt coverage ratio indicates a better liquidity position. Generally a ratio of 1 : 1 is considered</t>
  </si>
  <si>
    <t xml:space="preserve"> very comfortable because having a ratio of 1 : 1 means the business is able to pay all </t>
  </si>
  <si>
    <t>of its current liabilities from the cash flow of its own operations.</t>
  </si>
  <si>
    <t>The company has real liquidity issues as shown by falling cash debt coverage ratio.</t>
  </si>
  <si>
    <t>The net margin shows the margin or profit earned from the revenue after meeting all the operating expenses.</t>
  </si>
  <si>
    <t xml:space="preserve">The return on asset is an indication of the efficiency of the company in management of its assets. </t>
  </si>
  <si>
    <t>It is a description of the return earned from each dollar invested in the assets used to carry on its business.</t>
  </si>
  <si>
    <t>ROE is more than a measure of profit; it's a measure of efficiency. A rising ROE suggests that a company</t>
  </si>
  <si>
    <t xml:space="preserve"> is increasing its ability to generate profit without needing as much capital.</t>
  </si>
  <si>
    <t>The firm's low ROE is because of the falling net income even though the debt content</t>
  </si>
  <si>
    <t>of the firm has been increasing with each year.</t>
  </si>
  <si>
    <t xml:space="preserve">Chester Inc is  good at selling its inventory as indicated by the turnover ratio as low as  1.36  for the year 2015 </t>
  </si>
  <si>
    <t>Current Ratio shows the ability of the company to meet its current liabilities by use of current assets.</t>
  </si>
  <si>
    <t>To gauge this ability, the current ratio considers the current total assets of a company (both liquid and illiquid)</t>
  </si>
  <si>
    <t xml:space="preserve"> relative to that company's current total liabilities.</t>
  </si>
  <si>
    <t xml:space="preserve">The current ratio is a liquidity ratio that measures a company's ability to pay short-term and long-term obligations. </t>
  </si>
  <si>
    <t>The company has reported current ratio that shows an increasing trend indicating stable liquidity issues.</t>
  </si>
  <si>
    <t xml:space="preserve">Ideally, quick ratio should be 1:1. </t>
  </si>
  <si>
    <t>Higher quick ratio is needed when the company has difficulty borrowing on short-term notes. A quick ratio higher than 1:1 indicates</t>
  </si>
  <si>
    <t xml:space="preserve"> that the business can meet its current financial obligations with the available quick funds on hand</t>
  </si>
  <si>
    <t>its short-term liabilities</t>
  </si>
  <si>
    <t xml:space="preserve">A high turnover means higher sales and lower turnover inventory means  more goods in the stores </t>
  </si>
  <si>
    <t>In addition to  this it indicates  more storage costs are incurred for maintaining the maintaining the inventory.</t>
  </si>
  <si>
    <t>The Interest Coverage ratio shows the sufficiency of company earnings to meet the interest cost on long term debt.</t>
  </si>
  <si>
    <t xml:space="preserve">The lower the  ratio, higher the concern. It shows whether the earnings before interest and taxes </t>
  </si>
  <si>
    <t>The coverage ratio has not followed any specific trend but is as low as  6.4 for the year 2015.</t>
  </si>
  <si>
    <t>As we all know, lower the debt, lower the risk. Debt is not  a free lunch. It has high cost of interest and that too even fixed amounts. Thus to</t>
  </si>
  <si>
    <t xml:space="preserve"> be a conservative player, a lower debt in the capital structure is desired. Every Company is under obligation to make payments </t>
  </si>
  <si>
    <t>to debt holders in preference to equity holders, but the cost of equity is higher than the cost of debt. The debt content of the company .</t>
  </si>
  <si>
    <t>is increasing with each passing year and is 0.82 in the year 2015</t>
  </si>
  <si>
    <t>The firm's net profit margin is additional cause of concern which is just 3.13% for the year 2015.</t>
  </si>
  <si>
    <t>The firm is not efficient in management of its assets as shown by 2015 ROA of 7.12%.</t>
  </si>
  <si>
    <t>A negative gross profit margin occurs when costs exceed revenue. There are a few possible reasons</t>
  </si>
  <si>
    <t xml:space="preserve"> why a company might experience a negative gross profit margin. The only drag on gross profit margin calculations</t>
  </si>
  <si>
    <t xml:space="preserve"> is the cost of goods sold, which are the costs related to the production process.</t>
  </si>
  <si>
    <t>Payroll Liabilities</t>
  </si>
  <si>
    <t>Balance Sheet - Vertical Analysis</t>
  </si>
  <si>
    <t>Investments:</t>
  </si>
  <si>
    <t>EQUITY:</t>
  </si>
  <si>
    <t>Balance Sheet - Horizontal  Analysis</t>
  </si>
  <si>
    <t xml:space="preserve">Change </t>
  </si>
  <si>
    <t>2013-14</t>
  </si>
  <si>
    <t>2014-15</t>
  </si>
  <si>
    <t>Amount</t>
  </si>
  <si>
    <t>% age</t>
  </si>
  <si>
    <t>If quick ratio is higher, company may keep too much cash on hand or have a problem collecting its accounts receivable</t>
  </si>
  <si>
    <t xml:space="preserve">A quick ratio lower than 1:1 may indicate that the company relies too much on inventory or other assets to pay </t>
  </si>
  <si>
    <t>Income Statement - Horizontal for years ending December 31, 2013, 2014 and 2015</t>
  </si>
  <si>
    <t>Income Statement - Vertical for years ending December 31, 2013, 2014 and 2015</t>
  </si>
  <si>
    <t xml:space="preserve">  All wrong  per instructor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</si>
</sst>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FF0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color indexed="9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i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 applyFont="1" applyBorder="1"/>
    <xf numFmtId="0" fontId="3" fillId="0" borderId="0" xfId="0" applyFont="1" applyFill="1" applyBorder="1"/>
    <xf numFmtId="164" fontId="0" fillId="0" borderId="0" xfId="1" applyNumberFormat="1" applyFont="1" applyFill="1"/>
    <xf numFmtId="0" fontId="0" fillId="0" borderId="0" xfId="0" applyFont="1" applyFill="1" applyBorder="1"/>
    <xf numFmtId="164" fontId="4" fillId="0" borderId="0" xfId="1" applyNumberFormat="1" applyFont="1" applyFill="1"/>
    <xf numFmtId="164" fontId="0" fillId="0" borderId="0" xfId="1" applyNumberFormat="1" applyFont="1" applyFill="1" applyBorder="1"/>
    <xf numFmtId="0" fontId="2" fillId="0" borderId="0" xfId="0" applyFont="1" applyAlignment="1"/>
    <xf numFmtId="165" fontId="5" fillId="0" borderId="0" xfId="3" applyNumberFormat="1" applyFont="1" applyFill="1" applyProtection="1">
      <protection hidden="1"/>
    </xf>
    <xf numFmtId="165" fontId="4" fillId="0" borderId="0" xfId="3" applyNumberFormat="1" applyFill="1"/>
    <xf numFmtId="165" fontId="0" fillId="0" borderId="0" xfId="0" applyNumberFormat="1" applyFill="1"/>
    <xf numFmtId="165" fontId="6" fillId="0" borderId="0" xfId="3" applyNumberFormat="1" applyFont="1" applyFill="1" applyProtection="1">
      <protection hidden="1"/>
    </xf>
    <xf numFmtId="165" fontId="7" fillId="0" borderId="0" xfId="4" applyNumberFormat="1" applyFont="1" applyFill="1" applyAlignment="1" applyProtection="1">
      <alignment horizontal="center"/>
      <protection hidden="1"/>
    </xf>
    <xf numFmtId="165" fontId="7" fillId="0" borderId="0" xfId="4" applyNumberFormat="1" applyFont="1" applyFill="1" applyBorder="1" applyAlignment="1" applyProtection="1">
      <alignment horizontal="center"/>
      <protection hidden="1"/>
    </xf>
    <xf numFmtId="42" fontId="3" fillId="0" borderId="0" xfId="2" applyNumberFormat="1" applyFont="1" applyFill="1" applyBorder="1"/>
    <xf numFmtId="43" fontId="3" fillId="0" borderId="0" xfId="0" applyNumberFormat="1" applyFont="1" applyFill="1" applyBorder="1"/>
    <xf numFmtId="165" fontId="7" fillId="0" borderId="0" xfId="3" applyNumberFormat="1" applyFont="1" applyFill="1" applyProtection="1">
      <protection hidden="1"/>
    </xf>
    <xf numFmtId="0" fontId="0" fillId="0" borderId="0" xfId="0" applyFill="1" applyBorder="1"/>
    <xf numFmtId="165" fontId="4" fillId="0" borderId="0" xfId="3" applyNumberFormat="1" applyFill="1" applyProtection="1">
      <protection hidden="1"/>
    </xf>
    <xf numFmtId="164" fontId="4" fillId="2" borderId="0" xfId="1" applyNumberFormat="1" applyFont="1" applyFill="1" applyProtection="1">
      <protection hidden="1"/>
    </xf>
    <xf numFmtId="164" fontId="4" fillId="2" borderId="0" xfId="1" applyNumberFormat="1" applyFont="1" applyFill="1"/>
    <xf numFmtId="164" fontId="0" fillId="2" borderId="0" xfId="1" applyNumberFormat="1" applyFont="1" applyFill="1"/>
    <xf numFmtId="165" fontId="9" fillId="0" borderId="0" xfId="3" applyNumberFormat="1" applyFont="1" applyFill="1" applyProtection="1">
      <protection hidden="1"/>
    </xf>
    <xf numFmtId="164" fontId="8" fillId="2" borderId="0" xfId="1" applyNumberFormat="1" applyFont="1" applyFill="1"/>
    <xf numFmtId="164" fontId="8" fillId="0" borderId="0" xfId="1" applyNumberFormat="1" applyFont="1" applyFill="1"/>
    <xf numFmtId="164" fontId="4" fillId="0" borderId="2" xfId="1" applyNumberFormat="1" applyFont="1" applyFill="1" applyBorder="1" applyProtection="1">
      <protection hidden="1"/>
    </xf>
    <xf numFmtId="164" fontId="4" fillId="3" borderId="2" xfId="1" applyNumberFormat="1" applyFont="1" applyFill="1" applyBorder="1" applyProtection="1">
      <protection hidden="1"/>
    </xf>
    <xf numFmtId="164" fontId="4" fillId="2" borderId="0" xfId="1" applyNumberFormat="1" applyFont="1" applyFill="1" applyBorder="1" applyProtection="1">
      <protection hidden="1"/>
    </xf>
    <xf numFmtId="164" fontId="4" fillId="0" borderId="0" xfId="1" applyNumberFormat="1" applyFont="1" applyFill="1" applyBorder="1" applyProtection="1">
      <protection hidden="1"/>
    </xf>
    <xf numFmtId="164" fontId="4" fillId="0" borderId="4" xfId="1" applyNumberFormat="1" applyFont="1" applyFill="1" applyBorder="1"/>
    <xf numFmtId="164" fontId="0" fillId="0" borderId="4" xfId="1" applyNumberFormat="1" applyFont="1" applyFill="1" applyBorder="1"/>
    <xf numFmtId="164" fontId="10" fillId="3" borderId="4" xfId="1" applyNumberFormat="1" applyFont="1" applyFill="1" applyBorder="1"/>
    <xf numFmtId="164" fontId="4" fillId="0" borderId="0" xfId="4" applyNumberFormat="1" applyFont="1" applyFill="1" applyProtection="1">
      <protection hidden="1"/>
    </xf>
    <xf numFmtId="164" fontId="4" fillId="0" borderId="0" xfId="3" applyNumberFormat="1" applyFill="1"/>
    <xf numFmtId="164" fontId="0" fillId="0" borderId="0" xfId="0" applyNumberFormat="1" applyFill="1"/>
    <xf numFmtId="164" fontId="4" fillId="0" borderId="0" xfId="1" applyNumberFormat="1" applyFont="1" applyFill="1" applyProtection="1">
      <protection hidden="1"/>
    </xf>
    <xf numFmtId="165" fontId="11" fillId="0" borderId="0" xfId="3" applyNumberFormat="1" applyFont="1" applyFill="1" applyProtection="1">
      <protection hidden="1"/>
    </xf>
    <xf numFmtId="165" fontId="4" fillId="0" borderId="0" xfId="3" applyNumberFormat="1" applyFont="1" applyFill="1"/>
    <xf numFmtId="164" fontId="4" fillId="0" borderId="4" xfId="1" applyNumberFormat="1" applyFont="1" applyFill="1" applyBorder="1" applyProtection="1">
      <protection hidden="1"/>
    </xf>
    <xf numFmtId="165" fontId="12" fillId="0" borderId="0" xfId="3" applyNumberFormat="1" applyFont="1" applyFill="1" applyProtection="1">
      <protection hidden="1"/>
    </xf>
    <xf numFmtId="165" fontId="2" fillId="0" borderId="0" xfId="0" applyNumberFormat="1" applyFont="1" applyFill="1"/>
    <xf numFmtId="164" fontId="4" fillId="2" borderId="4" xfId="1" applyNumberFormat="1" applyFont="1" applyFill="1" applyBorder="1" applyProtection="1">
      <protection hidden="1"/>
    </xf>
    <xf numFmtId="0" fontId="13" fillId="0" borderId="0" xfId="0" applyFont="1"/>
    <xf numFmtId="0" fontId="14" fillId="0" borderId="0" xfId="0" applyFont="1"/>
    <xf numFmtId="0" fontId="15" fillId="0" borderId="3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164" fontId="14" fillId="0" borderId="5" xfId="1" applyNumberFormat="1" applyFont="1" applyBorder="1"/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164" fontId="14" fillId="0" borderId="0" xfId="1" applyNumberFormat="1" applyFont="1"/>
    <xf numFmtId="0" fontId="15" fillId="0" borderId="13" xfId="0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vertical="center"/>
    </xf>
    <xf numFmtId="0" fontId="15" fillId="0" borderId="14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43" fontId="15" fillId="0" borderId="12" xfId="0" applyNumberFormat="1" applyFont="1" applyFill="1" applyBorder="1" applyAlignment="1">
      <alignment vertical="center" wrapText="1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vertical="center"/>
    </xf>
    <xf numFmtId="0" fontId="15" fillId="0" borderId="22" xfId="0" applyFont="1" applyFill="1" applyBorder="1" applyAlignment="1">
      <alignment horizontal="center" vertical="center"/>
    </xf>
    <xf numFmtId="10" fontId="15" fillId="0" borderId="12" xfId="0" applyNumberFormat="1" applyFont="1" applyFill="1" applyBorder="1" applyAlignment="1">
      <alignment vertical="center"/>
    </xf>
    <xf numFmtId="10" fontId="15" fillId="0" borderId="12" xfId="0" applyNumberFormat="1" applyFont="1" applyFill="1" applyBorder="1" applyAlignment="1">
      <alignment horizontal="right" vertical="center"/>
    </xf>
    <xf numFmtId="10" fontId="15" fillId="0" borderId="18" xfId="0" applyNumberFormat="1" applyFont="1" applyFill="1" applyBorder="1" applyAlignment="1">
      <alignment horizontal="right" vertical="center"/>
    </xf>
    <xf numFmtId="42" fontId="0" fillId="0" borderId="0" xfId="0" applyNumberFormat="1" applyFill="1" applyBorder="1"/>
    <xf numFmtId="43" fontId="15" fillId="0" borderId="12" xfId="0" applyNumberFormat="1" applyFont="1" applyFill="1" applyBorder="1" applyAlignment="1">
      <alignment vertical="center"/>
    </xf>
    <xf numFmtId="164" fontId="14" fillId="0" borderId="0" xfId="1" applyNumberFormat="1" applyFont="1" applyBorder="1"/>
    <xf numFmtId="0" fontId="13" fillId="0" borderId="0" xfId="0" applyFont="1" applyFill="1"/>
    <xf numFmtId="0" fontId="16" fillId="0" borderId="0" xfId="0" applyFont="1" applyFill="1"/>
    <xf numFmtId="0" fontId="13" fillId="0" borderId="0" xfId="0" applyFont="1" applyBorder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Fill="1" applyAlignment="1">
      <alignment horizontal="center"/>
    </xf>
    <xf numFmtId="0" fontId="17" fillId="0" borderId="0" xfId="0" applyFont="1" applyFill="1"/>
    <xf numFmtId="0" fontId="18" fillId="0" borderId="0" xfId="0" applyFont="1"/>
    <xf numFmtId="0" fontId="18" fillId="0" borderId="0" xfId="0" applyFont="1" applyFill="1"/>
    <xf numFmtId="0" fontId="19" fillId="0" borderId="0" xfId="0" applyFont="1" applyFill="1"/>
    <xf numFmtId="0" fontId="20" fillId="0" borderId="0" xfId="0" applyFont="1" applyFill="1"/>
    <xf numFmtId="15" fontId="13" fillId="0" borderId="0" xfId="0" applyNumberFormat="1" applyFont="1" applyFill="1"/>
    <xf numFmtId="0" fontId="21" fillId="0" borderId="0" xfId="0" applyFont="1" applyFill="1" applyBorder="1"/>
    <xf numFmtId="0" fontId="13" fillId="0" borderId="0" xfId="0" applyFont="1" applyFill="1" applyBorder="1"/>
    <xf numFmtId="0" fontId="16" fillId="0" borderId="0" xfId="0" applyFont="1" applyAlignment="1"/>
    <xf numFmtId="165" fontId="22" fillId="0" borderId="0" xfId="3" applyNumberFormat="1" applyFont="1" applyFill="1" applyProtection="1">
      <protection hidden="1"/>
    </xf>
    <xf numFmtId="165" fontId="23" fillId="0" borderId="0" xfId="3" applyNumberFormat="1" applyFont="1" applyFill="1"/>
    <xf numFmtId="165" fontId="13" fillId="0" borderId="0" xfId="0" applyNumberFormat="1" applyFont="1" applyFill="1"/>
    <xf numFmtId="165" fontId="24" fillId="0" borderId="0" xfId="3" applyNumberFormat="1" applyFont="1" applyFill="1" applyProtection="1">
      <protection hidden="1"/>
    </xf>
    <xf numFmtId="165" fontId="25" fillId="0" borderId="0" xfId="4" applyNumberFormat="1" applyFont="1" applyFill="1" applyAlignment="1" applyProtection="1">
      <alignment horizontal="center"/>
      <protection hidden="1"/>
    </xf>
    <xf numFmtId="165" fontId="25" fillId="0" borderId="0" xfId="4" applyNumberFormat="1" applyFont="1" applyFill="1" applyBorder="1" applyAlignment="1" applyProtection="1">
      <alignment horizontal="center"/>
      <protection hidden="1"/>
    </xf>
    <xf numFmtId="42" fontId="21" fillId="0" borderId="0" xfId="2" applyNumberFormat="1" applyFont="1" applyFill="1" applyBorder="1"/>
    <xf numFmtId="43" fontId="21" fillId="0" borderId="0" xfId="0" applyNumberFormat="1" applyFont="1" applyFill="1" applyBorder="1"/>
    <xf numFmtId="165" fontId="25" fillId="0" borderId="0" xfId="3" applyNumberFormat="1" applyFont="1" applyFill="1" applyProtection="1">
      <protection hidden="1"/>
    </xf>
    <xf numFmtId="165" fontId="23" fillId="0" borderId="0" xfId="3" applyNumberFormat="1" applyFont="1" applyFill="1" applyProtection="1">
      <protection hidden="1"/>
    </xf>
    <xf numFmtId="164" fontId="23" fillId="0" borderId="0" xfId="1" applyNumberFormat="1" applyFont="1" applyFill="1" applyProtection="1">
      <protection hidden="1"/>
    </xf>
    <xf numFmtId="164" fontId="23" fillId="0" borderId="0" xfId="1" applyNumberFormat="1" applyFont="1" applyFill="1"/>
    <xf numFmtId="164" fontId="13" fillId="0" borderId="0" xfId="1" applyNumberFormat="1" applyFont="1" applyFill="1"/>
    <xf numFmtId="164" fontId="26" fillId="0" borderId="0" xfId="1" applyNumberFormat="1" applyFont="1" applyFill="1"/>
    <xf numFmtId="165" fontId="27" fillId="0" borderId="0" xfId="3" applyNumberFormat="1" applyFont="1" applyFill="1" applyProtection="1">
      <protection hidden="1"/>
    </xf>
    <xf numFmtId="164" fontId="23" fillId="0" borderId="2" xfId="1" applyNumberFormat="1" applyFont="1" applyFill="1" applyBorder="1" applyProtection="1">
      <protection hidden="1"/>
    </xf>
    <xf numFmtId="164" fontId="23" fillId="0" borderId="4" xfId="1" applyNumberFormat="1" applyFont="1" applyFill="1" applyBorder="1"/>
    <xf numFmtId="164" fontId="28" fillId="0" borderId="4" xfId="1" applyNumberFormat="1" applyFont="1" applyFill="1" applyBorder="1"/>
    <xf numFmtId="164" fontId="29" fillId="0" borderId="4" xfId="1" applyNumberFormat="1" applyFont="1" applyFill="1" applyBorder="1"/>
    <xf numFmtId="164" fontId="23" fillId="0" borderId="0" xfId="4" applyNumberFormat="1" applyFont="1" applyFill="1" applyProtection="1">
      <protection hidden="1"/>
    </xf>
    <xf numFmtId="164" fontId="23" fillId="0" borderId="0" xfId="3" applyNumberFormat="1" applyFont="1" applyFill="1"/>
    <xf numFmtId="164" fontId="13" fillId="0" borderId="0" xfId="0" applyNumberFormat="1" applyFont="1" applyFill="1"/>
    <xf numFmtId="165" fontId="30" fillId="0" borderId="0" xfId="3" applyNumberFormat="1" applyFont="1" applyFill="1" applyProtection="1">
      <protection hidden="1"/>
    </xf>
    <xf numFmtId="164" fontId="23" fillId="0" borderId="4" xfId="1" applyNumberFormat="1" applyFont="1" applyFill="1" applyBorder="1" applyProtection="1">
      <protection hidden="1"/>
    </xf>
    <xf numFmtId="164" fontId="28" fillId="0" borderId="4" xfId="1" applyNumberFormat="1" applyFont="1" applyFill="1" applyBorder="1" applyProtection="1">
      <protection hidden="1"/>
    </xf>
    <xf numFmtId="165" fontId="31" fillId="0" borderId="0" xfId="3" applyNumberFormat="1" applyFont="1" applyFill="1" applyProtection="1">
      <protection hidden="1"/>
    </xf>
    <xf numFmtId="164" fontId="13" fillId="0" borderId="4" xfId="1" applyNumberFormat="1" applyFont="1" applyFill="1" applyBorder="1"/>
    <xf numFmtId="165" fontId="16" fillId="0" borderId="0" xfId="0" applyNumberFormat="1" applyFont="1" applyFill="1"/>
    <xf numFmtId="164" fontId="29" fillId="0" borderId="0" xfId="1" applyNumberFormat="1" applyFont="1" applyFill="1"/>
    <xf numFmtId="0" fontId="25" fillId="0" borderId="1" xfId="0" applyFont="1" applyBorder="1" applyAlignment="1">
      <alignment horizontal="center"/>
    </xf>
    <xf numFmtId="0" fontId="25" fillId="0" borderId="1" xfId="1" applyNumberFormat="1" applyFont="1" applyBorder="1" applyAlignment="1">
      <alignment horizontal="center"/>
    </xf>
    <xf numFmtId="5" fontId="18" fillId="0" borderId="0" xfId="2" applyNumberFormat="1" applyFont="1" applyFill="1"/>
    <xf numFmtId="5" fontId="18" fillId="0" borderId="0" xfId="2" applyNumberFormat="1" applyFont="1"/>
    <xf numFmtId="37" fontId="18" fillId="0" borderId="0" xfId="1" applyNumberFormat="1" applyFont="1" applyFill="1"/>
    <xf numFmtId="164" fontId="18" fillId="0" borderId="0" xfId="1" applyNumberFormat="1" applyFont="1" applyFill="1"/>
    <xf numFmtId="164" fontId="18" fillId="0" borderId="0" xfId="1" applyNumberFormat="1" applyFont="1"/>
    <xf numFmtId="37" fontId="18" fillId="0" borderId="0" xfId="1" applyNumberFormat="1" applyFont="1"/>
    <xf numFmtId="164" fontId="13" fillId="0" borderId="0" xfId="0" applyNumberFormat="1" applyFont="1"/>
    <xf numFmtId="37" fontId="13" fillId="0" borderId="0" xfId="1" applyNumberFormat="1" applyFont="1"/>
    <xf numFmtId="3" fontId="13" fillId="0" borderId="0" xfId="1" applyNumberFormat="1" applyFont="1"/>
    <xf numFmtId="0" fontId="21" fillId="0" borderId="0" xfId="0" applyFont="1" applyBorder="1" applyAlignment="1">
      <alignment wrapText="1"/>
    </xf>
    <xf numFmtId="0" fontId="21" fillId="0" borderId="0" xfId="0" applyFont="1" applyBorder="1"/>
    <xf numFmtId="164" fontId="13" fillId="0" borderId="0" xfId="1" applyNumberFormat="1" applyFont="1"/>
    <xf numFmtId="42" fontId="21" fillId="0" borderId="0" xfId="2" applyNumberFormat="1" applyFont="1" applyBorder="1"/>
    <xf numFmtId="42" fontId="21" fillId="3" borderId="0" xfId="2" applyNumberFormat="1" applyFont="1" applyFill="1" applyBorder="1"/>
    <xf numFmtId="164" fontId="16" fillId="0" borderId="0" xfId="1" applyNumberFormat="1" applyFont="1"/>
    <xf numFmtId="164" fontId="16" fillId="0" borderId="0" xfId="1" applyNumberFormat="1" applyFont="1" applyBorder="1" applyAlignment="1">
      <alignment horizontal="center"/>
    </xf>
    <xf numFmtId="164" fontId="16" fillId="0" borderId="0" xfId="1" applyNumberFormat="1" applyFont="1" applyAlignment="1">
      <alignment horizontal="center"/>
    </xf>
    <xf numFmtId="164" fontId="13" fillId="0" borderId="1" xfId="1" applyNumberFormat="1" applyFont="1" applyBorder="1"/>
    <xf numFmtId="164" fontId="20" fillId="0" borderId="0" xfId="1" applyNumberFormat="1" applyFont="1"/>
    <xf numFmtId="164" fontId="13" fillId="0" borderId="2" xfId="1" applyNumberFormat="1" applyFont="1" applyBorder="1"/>
    <xf numFmtId="164" fontId="18" fillId="0" borderId="1" xfId="1" applyNumberFormat="1" applyFont="1" applyBorder="1"/>
    <xf numFmtId="43" fontId="21" fillId="0" borderId="0" xfId="1" applyNumberFormat="1" applyFont="1"/>
    <xf numFmtId="43" fontId="32" fillId="0" borderId="0" xfId="1" applyNumberFormat="1" applyFont="1" applyFill="1"/>
    <xf numFmtId="164" fontId="18" fillId="0" borderId="0" xfId="1" applyNumberFormat="1" applyFont="1" applyBorder="1"/>
    <xf numFmtId="164" fontId="25" fillId="0" borderId="0" xfId="1" applyNumberFormat="1" applyFont="1"/>
    <xf numFmtId="164" fontId="23" fillId="0" borderId="1" xfId="1" applyNumberFormat="1" applyFont="1" applyBorder="1"/>
    <xf numFmtId="43" fontId="13" fillId="0" borderId="0" xfId="1" applyNumberFormat="1" applyFont="1"/>
    <xf numFmtId="164" fontId="18" fillId="0" borderId="0" xfId="1" applyNumberFormat="1" applyFont="1" applyFill="1" applyBorder="1"/>
    <xf numFmtId="164" fontId="18" fillId="0" borderId="1" xfId="1" applyNumberFormat="1" applyFont="1" applyFill="1" applyBorder="1"/>
    <xf numFmtId="164" fontId="13" fillId="0" borderId="4" xfId="1" applyNumberFormat="1" applyFont="1" applyBorder="1"/>
    <xf numFmtId="164" fontId="21" fillId="3" borderId="0" xfId="1" applyNumberFormat="1" applyFont="1" applyFill="1"/>
    <xf numFmtId="0" fontId="21" fillId="3" borderId="0" xfId="0" applyFont="1" applyFill="1" applyBorder="1"/>
    <xf numFmtId="0" fontId="13" fillId="3" borderId="0" xfId="0" applyFont="1" applyFill="1" applyBorder="1"/>
    <xf numFmtId="164" fontId="23" fillId="0" borderId="0" xfId="1" applyNumberFormat="1" applyFont="1"/>
    <xf numFmtId="164" fontId="13" fillId="0" borderId="4" xfId="0" applyNumberFormat="1" applyFont="1" applyBorder="1"/>
    <xf numFmtId="164" fontId="13" fillId="0" borderId="0" xfId="0" applyNumberFormat="1" applyFont="1" applyBorder="1"/>
    <xf numFmtId="42" fontId="13" fillId="0" borderId="0" xfId="0" applyNumberFormat="1" applyFont="1" applyBorder="1"/>
    <xf numFmtId="0" fontId="16" fillId="0" borderId="0" xfId="0" applyFont="1" applyFill="1" applyBorder="1"/>
    <xf numFmtId="164" fontId="23" fillId="0" borderId="0" xfId="1" applyNumberFormat="1" applyFont="1" applyFill="1" applyBorder="1"/>
    <xf numFmtId="164" fontId="23" fillId="0" borderId="1" xfId="1" applyNumberFormat="1" applyFont="1" applyFill="1" applyBorder="1"/>
    <xf numFmtId="164" fontId="13" fillId="0" borderId="0" xfId="0" applyNumberFormat="1" applyFont="1" applyFill="1" applyBorder="1"/>
    <xf numFmtId="164" fontId="13" fillId="0" borderId="4" xfId="0" applyNumberFormat="1" applyFont="1" applyFill="1" applyBorder="1"/>
    <xf numFmtId="164" fontId="13" fillId="0" borderId="2" xfId="0" applyNumberFormat="1" applyFont="1" applyFill="1" applyBorder="1"/>
    <xf numFmtId="0" fontId="32" fillId="0" borderId="0" xfId="0" applyFont="1" applyFill="1"/>
    <xf numFmtId="164" fontId="13" fillId="0" borderId="0" xfId="1" applyNumberFormat="1" applyFont="1" applyFill="1" applyBorder="1"/>
    <xf numFmtId="42" fontId="13" fillId="0" borderId="0" xfId="2" applyNumberFormat="1" applyFont="1" applyBorder="1"/>
    <xf numFmtId="164" fontId="21" fillId="0" borderId="0" xfId="0" applyNumberFormat="1" applyFont="1" applyBorder="1"/>
    <xf numFmtId="43" fontId="13" fillId="0" borderId="0" xfId="1" applyFont="1" applyBorder="1"/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right" vertical="center"/>
    </xf>
    <xf numFmtId="0" fontId="13" fillId="0" borderId="15" xfId="0" applyFont="1" applyFill="1" applyBorder="1" applyAlignment="1">
      <alignment horizontal="center"/>
    </xf>
    <xf numFmtId="0" fontId="16" fillId="0" borderId="0" xfId="0" applyFont="1" applyBorder="1"/>
    <xf numFmtId="43" fontId="16" fillId="0" borderId="0" xfId="1" applyFont="1" applyFill="1" applyBorder="1" applyAlignment="1">
      <alignment horizontal="center"/>
    </xf>
    <xf numFmtId="9" fontId="13" fillId="0" borderId="0" xfId="5" applyFont="1" applyBorder="1"/>
    <xf numFmtId="10" fontId="13" fillId="0" borderId="0" xfId="5" applyNumberFormat="1" applyFont="1" applyBorder="1"/>
    <xf numFmtId="10" fontId="13" fillId="0" borderId="1" xfId="5" applyNumberFormat="1" applyFont="1" applyBorder="1"/>
    <xf numFmtId="10" fontId="13" fillId="0" borderId="0" xfId="0" applyNumberFormat="1" applyFont="1" applyBorder="1"/>
    <xf numFmtId="10" fontId="16" fillId="0" borderId="4" xfId="5" applyNumberFormat="1" applyFont="1" applyBorder="1"/>
    <xf numFmtId="10" fontId="16" fillId="0" borderId="0" xfId="1" applyNumberFormat="1" applyFont="1" applyBorder="1"/>
    <xf numFmtId="10" fontId="16" fillId="0" borderId="0" xfId="5" applyNumberFormat="1" applyFont="1" applyBorder="1"/>
    <xf numFmtId="0" fontId="16" fillId="4" borderId="0" xfId="0" applyFont="1" applyFill="1"/>
    <xf numFmtId="0" fontId="13" fillId="4" borderId="0" xfId="0" applyFont="1" applyFill="1" applyBorder="1"/>
    <xf numFmtId="164" fontId="0" fillId="4" borderId="0" xfId="0" applyNumberFormat="1" applyFill="1"/>
    <xf numFmtId="10" fontId="0" fillId="4" borderId="0" xfId="5" applyNumberFormat="1" applyFont="1" applyFill="1"/>
    <xf numFmtId="164" fontId="13" fillId="4" borderId="0" xfId="0" applyNumberFormat="1" applyFont="1" applyFill="1" applyBorder="1"/>
    <xf numFmtId="164" fontId="13" fillId="4" borderId="0" xfId="0" applyNumberFormat="1" applyFont="1" applyFill="1"/>
    <xf numFmtId="10" fontId="13" fillId="4" borderId="0" xfId="5" applyNumberFormat="1" applyFont="1" applyFill="1"/>
    <xf numFmtId="0" fontId="13" fillId="4" borderId="0" xfId="0" applyFont="1" applyFill="1"/>
    <xf numFmtId="164" fontId="13" fillId="4" borderId="2" xfId="0" applyNumberFormat="1" applyFont="1" applyFill="1" applyBorder="1"/>
    <xf numFmtId="10" fontId="13" fillId="4" borderId="2" xfId="5" applyNumberFormat="1" applyFont="1" applyFill="1" applyBorder="1"/>
    <xf numFmtId="164" fontId="13" fillId="4" borderId="1" xfId="0" applyNumberFormat="1" applyFont="1" applyFill="1" applyBorder="1"/>
    <xf numFmtId="10" fontId="13" fillId="4" borderId="1" xfId="5" applyNumberFormat="1" applyFont="1" applyFill="1" applyBorder="1"/>
    <xf numFmtId="10" fontId="13" fillId="4" borderId="0" xfId="5" applyNumberFormat="1" applyFont="1" applyFill="1" applyBorder="1"/>
    <xf numFmtId="164" fontId="13" fillId="4" borderId="4" xfId="0" applyNumberFormat="1" applyFont="1" applyFill="1" applyBorder="1"/>
    <xf numFmtId="10" fontId="13" fillId="4" borderId="4" xfId="5" applyNumberFormat="1" applyFont="1" applyFill="1" applyBorder="1"/>
    <xf numFmtId="10" fontId="13" fillId="0" borderId="2" xfId="5" applyNumberFormat="1" applyFont="1" applyBorder="1"/>
    <xf numFmtId="164" fontId="20" fillId="0" borderId="0" xfId="1" applyNumberFormat="1" applyFont="1" applyAlignment="1">
      <alignment horizontal="right"/>
    </xf>
    <xf numFmtId="10" fontId="13" fillId="0" borderId="0" xfId="5" applyNumberFormat="1" applyFont="1"/>
    <xf numFmtId="164" fontId="16" fillId="0" borderId="0" xfId="1" applyNumberFormat="1" applyFont="1" applyFill="1"/>
    <xf numFmtId="164" fontId="16" fillId="0" borderId="0" xfId="1" applyNumberFormat="1" applyFont="1" applyFill="1" applyBorder="1" applyAlignment="1">
      <alignment horizontal="center"/>
    </xf>
    <xf numFmtId="164" fontId="16" fillId="0" borderId="0" xfId="1" applyNumberFormat="1" applyFont="1" applyFill="1" applyAlignment="1">
      <alignment horizontal="center"/>
    </xf>
    <xf numFmtId="164" fontId="13" fillId="0" borderId="1" xfId="1" applyNumberFormat="1" applyFont="1" applyFill="1" applyBorder="1"/>
    <xf numFmtId="164" fontId="20" fillId="0" borderId="0" xfId="1" applyNumberFormat="1" applyFont="1" applyFill="1"/>
    <xf numFmtId="164" fontId="13" fillId="0" borderId="2" xfId="1" applyNumberFormat="1" applyFont="1" applyFill="1" applyBorder="1"/>
    <xf numFmtId="164" fontId="13" fillId="0" borderId="3" xfId="1" applyNumberFormat="1" applyFont="1" applyFill="1" applyBorder="1"/>
    <xf numFmtId="164" fontId="25" fillId="0" borderId="0" xfId="1" applyNumberFormat="1" applyFont="1" applyFill="1"/>
    <xf numFmtId="43" fontId="13" fillId="0" borderId="0" xfId="1" applyNumberFormat="1" applyFont="1" applyFill="1"/>
    <xf numFmtId="10" fontId="16" fillId="0" borderId="0" xfId="5" applyNumberFormat="1" applyFont="1"/>
    <xf numFmtId="10" fontId="16" fillId="0" borderId="2" xfId="5" applyNumberFormat="1" applyFont="1" applyBorder="1"/>
    <xf numFmtId="164" fontId="16" fillId="0" borderId="0" xfId="1" applyNumberFormat="1" applyFont="1" applyAlignment="1">
      <alignment horizontal="right"/>
    </xf>
    <xf numFmtId="0" fontId="13" fillId="0" borderId="0" xfId="0" applyFont="1" applyBorder="1" applyAlignment="1"/>
    <xf numFmtId="10" fontId="16" fillId="4" borderId="0" xfId="5" applyNumberFormat="1" applyFont="1" applyFill="1" applyBorder="1"/>
    <xf numFmtId="0" fontId="16" fillId="0" borderId="0" xfId="0" applyFont="1" applyAlignment="1">
      <alignment horizontal="center"/>
    </xf>
    <xf numFmtId="0" fontId="16" fillId="0" borderId="6" xfId="1" applyNumberFormat="1" applyFont="1" applyBorder="1" applyAlignment="1">
      <alignment horizontal="center"/>
    </xf>
    <xf numFmtId="0" fontId="16" fillId="0" borderId="0" xfId="1" applyNumberFormat="1" applyFont="1" applyAlignment="1">
      <alignment horizontal="center"/>
    </xf>
    <xf numFmtId="0" fontId="16" fillId="0" borderId="0" xfId="1" applyNumberFormat="1" applyFont="1" applyBorder="1" applyAlignment="1">
      <alignment horizontal="center"/>
    </xf>
    <xf numFmtId="164" fontId="16" fillId="0" borderId="5" xfId="1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10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/>
    </xf>
    <xf numFmtId="0" fontId="16" fillId="0" borderId="0" xfId="1" applyNumberFormat="1" applyFont="1" applyFill="1" applyBorder="1" applyAlignment="1">
      <alignment horizontal="center"/>
    </xf>
    <xf numFmtId="0" fontId="16" fillId="0" borderId="0" xfId="1" applyNumberFormat="1" applyFont="1" applyFill="1" applyAlignment="1">
      <alignment horizontal="center"/>
    </xf>
    <xf numFmtId="0" fontId="13" fillId="0" borderId="0" xfId="0" applyFont="1" applyBorder="1" applyAlignment="1">
      <alignment horizontal="center"/>
    </xf>
    <xf numFmtId="164" fontId="18" fillId="0" borderId="0" xfId="1" applyNumberFormat="1" applyFont="1" applyFill="1" applyAlignment="1">
      <alignment horizontal="center"/>
    </xf>
    <xf numFmtId="0" fontId="21" fillId="5" borderId="0" xfId="0" applyFont="1" applyFill="1" applyBorder="1"/>
  </cellXfs>
  <cellStyles count="6">
    <cellStyle name="Comma" xfId="1" builtinId="3"/>
    <cellStyle name="Comma 2" xfId="4"/>
    <cellStyle name="Currency" xfId="2" builtinId="4"/>
    <cellStyle name="Normal" xfId="0" builtinId="0"/>
    <cellStyle name="Normal 2" xfId="3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8752182_form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bal sheet ver analysis"/>
      <sheetName val="bal sheet hor analysis"/>
      <sheetName val="Sheet2"/>
      <sheetName val="income statement"/>
      <sheetName val="inc stat hor analysis"/>
      <sheetName val="inc stat ver analysis"/>
      <sheetName val="Sheet1"/>
      <sheetName val="ratio analysis"/>
      <sheetName val="competitive analysis"/>
      <sheetName val="cash flow"/>
    </sheetNames>
    <sheetDataSet>
      <sheetData sheetId="0">
        <row r="34">
          <cell r="G34">
            <v>9278750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abSelected="1" zoomScale="99" zoomScaleNormal="99" workbookViewId="0">
      <pane ySplit="4" topLeftCell="A26" activePane="bottomLeft" state="frozen"/>
      <selection activeCell="G34" sqref="G34"/>
      <selection pane="bottomLeft" activeCell="A31" sqref="A31"/>
    </sheetView>
  </sheetViews>
  <sheetFormatPr defaultColWidth="8.7109375" defaultRowHeight="15" x14ac:dyDescent="0.25"/>
  <cols>
    <col min="1" max="1" width="45.7109375" style="42" customWidth="1"/>
    <col min="2" max="2" width="20.7109375" style="125" customWidth="1"/>
    <col min="3" max="4" width="20.7109375" style="42" customWidth="1"/>
    <col min="5" max="5" width="10.7109375" style="42" bestFit="1" customWidth="1"/>
    <col min="6" max="16384" width="8.7109375" style="42"/>
  </cols>
  <sheetData>
    <row r="1" spans="1:5" x14ac:dyDescent="0.25">
      <c r="A1" s="209" t="s">
        <v>0</v>
      </c>
      <c r="B1" s="209"/>
      <c r="C1" s="209"/>
      <c r="D1" s="209"/>
    </row>
    <row r="2" spans="1:5" x14ac:dyDescent="0.25">
      <c r="A2" s="209" t="s">
        <v>1</v>
      </c>
      <c r="B2" s="209"/>
      <c r="C2" s="209"/>
      <c r="D2" s="209"/>
    </row>
    <row r="4" spans="1:5" x14ac:dyDescent="0.25">
      <c r="A4" s="115" t="s">
        <v>2</v>
      </c>
      <c r="B4" s="116">
        <v>2013</v>
      </c>
      <c r="C4" s="116">
        <v>2014</v>
      </c>
      <c r="D4" s="116">
        <v>2015</v>
      </c>
    </row>
    <row r="5" spans="1:5" x14ac:dyDescent="0.25">
      <c r="A5" s="78" t="s">
        <v>3</v>
      </c>
      <c r="B5" s="117">
        <v>2483</v>
      </c>
      <c r="C5" s="117">
        <v>2459</v>
      </c>
      <c r="D5" s="118">
        <v>2511</v>
      </c>
    </row>
    <row r="6" spans="1:5" x14ac:dyDescent="0.25">
      <c r="A6" s="78" t="s">
        <v>4</v>
      </c>
      <c r="B6" s="119">
        <v>247646</v>
      </c>
      <c r="C6" s="120">
        <v>252858</v>
      </c>
      <c r="D6" s="121">
        <v>243892</v>
      </c>
    </row>
    <row r="7" spans="1:5" x14ac:dyDescent="0.25">
      <c r="A7" s="78" t="s">
        <v>5</v>
      </c>
      <c r="B7" s="119">
        <v>806288</v>
      </c>
      <c r="C7" s="120">
        <v>983161</v>
      </c>
      <c r="D7" s="121">
        <v>1205563</v>
      </c>
    </row>
    <row r="8" spans="1:5" x14ac:dyDescent="0.25">
      <c r="A8" s="78" t="s">
        <v>6</v>
      </c>
      <c r="B8" s="122">
        <v>6935712</v>
      </c>
      <c r="C8" s="121">
        <v>6850198</v>
      </c>
      <c r="D8" s="121">
        <v>6978923</v>
      </c>
      <c r="E8" s="123"/>
    </row>
    <row r="9" spans="1:5" x14ac:dyDescent="0.25">
      <c r="A9" s="78" t="s">
        <v>7</v>
      </c>
      <c r="B9" s="122">
        <v>20513628</v>
      </c>
      <c r="C9" s="121">
        <v>56472091</v>
      </c>
      <c r="D9" s="121">
        <v>49042528</v>
      </c>
    </row>
    <row r="10" spans="1:5" x14ac:dyDescent="0.25">
      <c r="A10" s="78" t="s">
        <v>8</v>
      </c>
      <c r="B10" s="122">
        <v>-1578525</v>
      </c>
      <c r="C10" s="121">
        <v>-2387691</v>
      </c>
      <c r="D10" s="121">
        <v>-2942552</v>
      </c>
    </row>
    <row r="11" spans="1:5" x14ac:dyDescent="0.25">
      <c r="A11" s="78" t="s">
        <v>9</v>
      </c>
      <c r="B11" s="122">
        <v>0</v>
      </c>
      <c r="C11" s="121">
        <v>1400000</v>
      </c>
      <c r="D11" s="121">
        <v>1200000</v>
      </c>
    </row>
    <row r="12" spans="1:5" x14ac:dyDescent="0.25">
      <c r="A12" s="78" t="s">
        <v>10</v>
      </c>
      <c r="B12" s="122">
        <v>23531507</v>
      </c>
      <c r="C12" s="121">
        <v>75351471</v>
      </c>
      <c r="D12" s="121">
        <v>65990780</v>
      </c>
    </row>
    <row r="13" spans="1:5" x14ac:dyDescent="0.25">
      <c r="A13" s="78" t="s">
        <v>11</v>
      </c>
      <c r="B13" s="122">
        <v>-3765000</v>
      </c>
      <c r="C13" s="121">
        <v>-12136103</v>
      </c>
      <c r="D13" s="121">
        <v>-10558525</v>
      </c>
    </row>
    <row r="14" spans="1:5" x14ac:dyDescent="0.25">
      <c r="A14" s="78" t="s">
        <v>12</v>
      </c>
      <c r="B14" s="122">
        <v>1829143</v>
      </c>
      <c r="C14" s="121">
        <v>2830474</v>
      </c>
      <c r="D14" s="121">
        <v>2667722</v>
      </c>
    </row>
    <row r="15" spans="1:5" x14ac:dyDescent="0.25">
      <c r="A15" s="78" t="s">
        <v>13</v>
      </c>
      <c r="B15" s="122">
        <v>250000</v>
      </c>
      <c r="C15" s="121">
        <v>0</v>
      </c>
      <c r="D15" s="121">
        <v>0</v>
      </c>
    </row>
    <row r="16" spans="1:5" x14ac:dyDescent="0.25">
      <c r="A16" s="78" t="s">
        <v>14</v>
      </c>
      <c r="B16" s="122">
        <v>9259</v>
      </c>
      <c r="C16" s="121">
        <v>9565</v>
      </c>
      <c r="D16" s="121">
        <v>9182</v>
      </c>
    </row>
    <row r="17" spans="1:5" x14ac:dyDescent="0.25">
      <c r="A17" s="78" t="s">
        <v>15</v>
      </c>
      <c r="B17" s="122">
        <v>146250</v>
      </c>
      <c r="C17" s="121">
        <v>131040</v>
      </c>
      <c r="D17" s="121">
        <v>131040</v>
      </c>
      <c r="E17" s="123"/>
    </row>
    <row r="18" spans="1:5" x14ac:dyDescent="0.25">
      <c r="A18" s="78" t="s">
        <v>16</v>
      </c>
      <c r="B18" s="122">
        <v>779882</v>
      </c>
      <c r="C18" s="121">
        <v>698775</v>
      </c>
      <c r="D18" s="121">
        <v>833775</v>
      </c>
      <c r="E18" s="123"/>
    </row>
    <row r="19" spans="1:5" x14ac:dyDescent="0.25">
      <c r="A19" s="78" t="s">
        <v>17</v>
      </c>
      <c r="B19" s="122">
        <v>541522</v>
      </c>
      <c r="C19" s="121">
        <v>3280589</v>
      </c>
      <c r="D19" s="121">
        <v>3280589</v>
      </c>
      <c r="E19" s="123"/>
    </row>
    <row r="20" spans="1:5" x14ac:dyDescent="0.25">
      <c r="A20" s="78" t="s">
        <v>18</v>
      </c>
      <c r="B20" s="122">
        <v>-205000</v>
      </c>
      <c r="C20" s="121">
        <v>-786102</v>
      </c>
      <c r="D20" s="121">
        <v>-1403257</v>
      </c>
    </row>
    <row r="21" spans="1:5" x14ac:dyDescent="0.25">
      <c r="A21" s="78" t="s">
        <v>19</v>
      </c>
      <c r="B21" s="122">
        <v>67301</v>
      </c>
      <c r="C21" s="121">
        <v>0</v>
      </c>
      <c r="D21" s="121">
        <v>0</v>
      </c>
    </row>
    <row r="22" spans="1:5" x14ac:dyDescent="0.25">
      <c r="A22" s="78" t="s">
        <v>20</v>
      </c>
      <c r="B22" s="122">
        <v>-8934591</v>
      </c>
      <c r="C22" s="121">
        <v>-19488866</v>
      </c>
      <c r="D22" s="121">
        <v>-12850648</v>
      </c>
    </row>
    <row r="23" spans="1:5" x14ac:dyDescent="0.25">
      <c r="A23" s="78" t="s">
        <v>21</v>
      </c>
      <c r="B23" s="122">
        <v>-36838</v>
      </c>
      <c r="C23" s="121">
        <v>-264513</v>
      </c>
      <c r="D23" s="121">
        <v>-198384</v>
      </c>
    </row>
    <row r="24" spans="1:5" x14ac:dyDescent="0.25">
      <c r="A24" s="78" t="s">
        <v>22</v>
      </c>
      <c r="B24" s="122">
        <v>-1648</v>
      </c>
      <c r="C24" s="121">
        <v>-9452</v>
      </c>
      <c r="D24" s="121">
        <v>-7089</v>
      </c>
    </row>
    <row r="25" spans="1:5" x14ac:dyDescent="0.25">
      <c r="A25" s="78" t="s">
        <v>23</v>
      </c>
      <c r="B25" s="122">
        <v>-730</v>
      </c>
      <c r="C25" s="121">
        <v>-12785</v>
      </c>
      <c r="D25" s="121">
        <v>-9589</v>
      </c>
    </row>
    <row r="26" spans="1:5" x14ac:dyDescent="0.25">
      <c r="A26" s="78" t="s">
        <v>24</v>
      </c>
      <c r="B26" s="122">
        <v>-7541</v>
      </c>
      <c r="C26" s="121">
        <v>-132256</v>
      </c>
      <c r="D26" s="121">
        <v>-99192</v>
      </c>
    </row>
    <row r="27" spans="1:5" x14ac:dyDescent="0.25">
      <c r="A27" s="78" t="s">
        <v>25</v>
      </c>
      <c r="B27" s="122">
        <v>-3519</v>
      </c>
      <c r="C27" s="121">
        <v>-61630</v>
      </c>
      <c r="D27" s="121">
        <v>-46200</v>
      </c>
    </row>
    <row r="28" spans="1:5" x14ac:dyDescent="0.25">
      <c r="A28" s="78" t="s">
        <v>26</v>
      </c>
      <c r="B28" s="122">
        <v>-1648</v>
      </c>
      <c r="C28" s="121">
        <v>-9452</v>
      </c>
      <c r="D28" s="121">
        <v>-7089</v>
      </c>
    </row>
    <row r="29" spans="1:5" x14ac:dyDescent="0.25">
      <c r="A29" s="78" t="s">
        <v>27</v>
      </c>
      <c r="B29" s="122">
        <v>-730</v>
      </c>
      <c r="C29" s="121">
        <v>-12785</v>
      </c>
      <c r="D29" s="121">
        <v>-9589</v>
      </c>
    </row>
    <row r="30" spans="1:5" x14ac:dyDescent="0.25">
      <c r="A30" s="78" t="s">
        <v>28</v>
      </c>
      <c r="B30" s="122">
        <v>0</v>
      </c>
      <c r="C30" s="121">
        <v>-3205440</v>
      </c>
      <c r="D30" s="121">
        <v>-6011540</v>
      </c>
    </row>
    <row r="31" spans="1:5" x14ac:dyDescent="0.25">
      <c r="A31" s="78" t="s">
        <v>29</v>
      </c>
      <c r="B31" s="122">
        <v>-12500000</v>
      </c>
      <c r="C31" s="121">
        <v>-52231360</v>
      </c>
      <c r="D31" s="121">
        <f>-47481737</f>
        <v>-47481737</v>
      </c>
    </row>
    <row r="32" spans="1:5" x14ac:dyDescent="0.25">
      <c r="A32" s="78" t="s">
        <v>30</v>
      </c>
      <c r="B32" s="122">
        <v>0</v>
      </c>
      <c r="C32" s="121">
        <v>-677640</v>
      </c>
      <c r="D32" s="121">
        <v>-721480</v>
      </c>
    </row>
    <row r="33" spans="1:4" x14ac:dyDescent="0.25">
      <c r="A33" s="78" t="s">
        <v>31</v>
      </c>
      <c r="B33" s="122">
        <v>0</v>
      </c>
      <c r="C33" s="121">
        <v>-470311</v>
      </c>
      <c r="D33" s="121">
        <v>-568429</v>
      </c>
    </row>
    <row r="34" spans="1:4" x14ac:dyDescent="0.25">
      <c r="A34" s="78" t="s">
        <v>32</v>
      </c>
      <c r="B34" s="122">
        <v>0</v>
      </c>
      <c r="C34" s="121">
        <v>-504000</v>
      </c>
      <c r="D34" s="121">
        <v>-459000</v>
      </c>
    </row>
    <row r="35" spans="1:4" x14ac:dyDescent="0.25">
      <c r="A35" s="78" t="s">
        <v>33</v>
      </c>
      <c r="B35" s="122">
        <v>-6000000</v>
      </c>
      <c r="C35" s="121">
        <v>-15250000</v>
      </c>
      <c r="D35" s="121">
        <v>-15000000</v>
      </c>
    </row>
    <row r="36" spans="1:4" x14ac:dyDescent="0.25">
      <c r="A36" s="78" t="s">
        <v>34</v>
      </c>
      <c r="B36" s="122"/>
      <c r="C36" s="121">
        <v>-12762360</v>
      </c>
      <c r="D36" s="121">
        <v>-12040880</v>
      </c>
    </row>
    <row r="37" spans="1:4" x14ac:dyDescent="0.25">
      <c r="A37" s="78" t="s">
        <v>35</v>
      </c>
      <c r="B37" s="122">
        <v>-10131250</v>
      </c>
      <c r="C37" s="121">
        <v>-10131250</v>
      </c>
      <c r="D37" s="121">
        <v>-10131250</v>
      </c>
    </row>
    <row r="38" spans="1:4" x14ac:dyDescent="0.25">
      <c r="A38" s="78" t="s">
        <v>36</v>
      </c>
      <c r="B38" s="122">
        <v>-9278750</v>
      </c>
      <c r="C38" s="121">
        <v>-9278750</v>
      </c>
      <c r="D38" s="121">
        <v>-9278750</v>
      </c>
    </row>
    <row r="39" spans="1:4" x14ac:dyDescent="0.25">
      <c r="A39" s="78" t="s">
        <v>37</v>
      </c>
      <c r="B39" s="122">
        <v>-2773900</v>
      </c>
      <c r="C39" s="229">
        <f>-'Statement of Retained Earnings'!L6</f>
        <v>36747510</v>
      </c>
      <c r="D39" s="229">
        <f>-'Statement of Retained Earnings'!N6</f>
        <v>31512426</v>
      </c>
    </row>
    <row r="40" spans="1:4" x14ac:dyDescent="0.25">
      <c r="A40" s="78" t="s">
        <v>38</v>
      </c>
      <c r="B40" s="122">
        <v>6000000</v>
      </c>
      <c r="C40" s="121">
        <v>15250000</v>
      </c>
      <c r="D40" s="121">
        <v>15000000</v>
      </c>
    </row>
    <row r="41" spans="1:4" x14ac:dyDescent="0.25">
      <c r="A41" s="78" t="s">
        <v>39</v>
      </c>
      <c r="B41" s="119">
        <v>-307716148</v>
      </c>
      <c r="C41" s="121">
        <f>-271839067</f>
        <v>-271839067</v>
      </c>
      <c r="D41" s="121">
        <v>-288876206</v>
      </c>
    </row>
    <row r="42" spans="1:4" x14ac:dyDescent="0.25">
      <c r="A42" s="78" t="s">
        <v>40</v>
      </c>
      <c r="B42" s="119">
        <v>5621979</v>
      </c>
      <c r="C42" s="121">
        <v>12432247</v>
      </c>
      <c r="D42" s="121">
        <v>23110096</v>
      </c>
    </row>
    <row r="43" spans="1:4" x14ac:dyDescent="0.25">
      <c r="A43" s="78" t="s">
        <v>41</v>
      </c>
      <c r="B43" s="122">
        <v>-665079</v>
      </c>
      <c r="C43" s="122">
        <v>-658672</v>
      </c>
      <c r="D43" s="122">
        <v>-549387</v>
      </c>
    </row>
    <row r="44" spans="1:4" x14ac:dyDescent="0.25">
      <c r="A44" s="78" t="s">
        <v>42</v>
      </c>
      <c r="B44" s="122">
        <v>64288</v>
      </c>
      <c r="C44" s="122">
        <v>85514</v>
      </c>
      <c r="D44" s="122">
        <v>-128725</v>
      </c>
    </row>
    <row r="45" spans="1:4" x14ac:dyDescent="0.25">
      <c r="A45" s="78" t="s">
        <v>43</v>
      </c>
      <c r="B45" s="122">
        <v>-255379</v>
      </c>
      <c r="C45" s="121">
        <v>-147707</v>
      </c>
      <c r="D45" s="121">
        <v>-142168</v>
      </c>
    </row>
    <row r="46" spans="1:4" x14ac:dyDescent="0.25">
      <c r="A46" s="78" t="s">
        <v>44</v>
      </c>
      <c r="B46" s="122">
        <v>176961437</v>
      </c>
      <c r="C46" s="121">
        <v>161029981</v>
      </c>
      <c r="D46" s="121">
        <v>179103248</v>
      </c>
    </row>
    <row r="47" spans="1:4" x14ac:dyDescent="0.25">
      <c r="A47" s="78" t="s">
        <v>45</v>
      </c>
      <c r="B47" s="122">
        <v>21094132</v>
      </c>
      <c r="C47" s="121">
        <v>18344399</v>
      </c>
      <c r="D47" s="121">
        <v>19706506</v>
      </c>
    </row>
    <row r="48" spans="1:4" x14ac:dyDescent="0.25">
      <c r="A48" s="78" t="s">
        <v>46</v>
      </c>
      <c r="B48" s="122">
        <v>1121425</v>
      </c>
      <c r="C48" s="121">
        <v>1161276</v>
      </c>
      <c r="D48" s="121">
        <v>1058391</v>
      </c>
    </row>
    <row r="49" spans="1:4" x14ac:dyDescent="0.25">
      <c r="A49" s="78" t="s">
        <v>47</v>
      </c>
      <c r="B49" s="122">
        <v>261218</v>
      </c>
      <c r="C49" s="121">
        <v>235763</v>
      </c>
      <c r="D49" s="121">
        <v>214001</v>
      </c>
    </row>
    <row r="50" spans="1:4" x14ac:dyDescent="0.25">
      <c r="A50" s="78" t="s">
        <v>48</v>
      </c>
      <c r="B50" s="122">
        <v>2028032</v>
      </c>
      <c r="C50" s="121">
        <v>5875403</v>
      </c>
      <c r="D50" s="121">
        <v>13900800</v>
      </c>
    </row>
    <row r="51" spans="1:4" x14ac:dyDescent="0.25">
      <c r="A51" s="78" t="s">
        <v>49</v>
      </c>
      <c r="B51" s="122">
        <v>0</v>
      </c>
      <c r="C51" s="121">
        <v>504000</v>
      </c>
      <c r="D51" s="121">
        <v>459000</v>
      </c>
    </row>
    <row r="52" spans="1:4" x14ac:dyDescent="0.25">
      <c r="A52" s="78" t="s">
        <v>50</v>
      </c>
      <c r="B52" s="122">
        <v>166250</v>
      </c>
      <c r="C52" s="121">
        <v>581102</v>
      </c>
      <c r="D52" s="121">
        <v>617155</v>
      </c>
    </row>
    <row r="53" spans="1:4" x14ac:dyDescent="0.25">
      <c r="A53" s="78" t="s">
        <v>51</v>
      </c>
      <c r="B53" s="122">
        <v>5378689</v>
      </c>
      <c r="C53" s="121">
        <v>4749095</v>
      </c>
      <c r="D53" s="121">
        <v>4325068</v>
      </c>
    </row>
    <row r="54" spans="1:4" x14ac:dyDescent="0.25">
      <c r="A54" s="78" t="s">
        <v>52</v>
      </c>
      <c r="B54" s="122">
        <v>1067428</v>
      </c>
      <c r="C54" s="121">
        <v>1045085</v>
      </c>
      <c r="D54" s="121">
        <v>951774</v>
      </c>
    </row>
    <row r="55" spans="1:4" x14ac:dyDescent="0.25">
      <c r="A55" s="78" t="s">
        <v>53</v>
      </c>
      <c r="B55" s="122">
        <v>4506417</v>
      </c>
      <c r="C55" s="121">
        <v>11037039</v>
      </c>
      <c r="D55" s="121">
        <v>8987069</v>
      </c>
    </row>
    <row r="56" spans="1:4" x14ac:dyDescent="0.25">
      <c r="A56" s="78" t="s">
        <v>54</v>
      </c>
      <c r="B56" s="122">
        <v>76420</v>
      </c>
      <c r="C56" s="121">
        <v>96020</v>
      </c>
      <c r="D56" s="121">
        <v>87641</v>
      </c>
    </row>
    <row r="57" spans="1:4" x14ac:dyDescent="0.25">
      <c r="A57" s="78" t="s">
        <v>55</v>
      </c>
      <c r="B57" s="122">
        <v>21279</v>
      </c>
      <c r="C57" s="121">
        <v>27803</v>
      </c>
      <c r="D57" s="121">
        <v>25390</v>
      </c>
    </row>
    <row r="58" spans="1:4" x14ac:dyDescent="0.25">
      <c r="A58" s="78" t="s">
        <v>56</v>
      </c>
      <c r="B58" s="122">
        <v>1938736</v>
      </c>
      <c r="C58" s="121">
        <v>1767149</v>
      </c>
      <c r="D58" s="121">
        <v>1609342</v>
      </c>
    </row>
    <row r="59" spans="1:4" x14ac:dyDescent="0.25">
      <c r="A59" s="78" t="s">
        <v>57</v>
      </c>
      <c r="B59" s="122">
        <v>3750000</v>
      </c>
      <c r="C59" s="121">
        <v>3696000</v>
      </c>
      <c r="D59" s="121">
        <v>3366000</v>
      </c>
    </row>
    <row r="60" spans="1:4" x14ac:dyDescent="0.25">
      <c r="A60" s="78" t="s">
        <v>58</v>
      </c>
      <c r="B60" s="122">
        <v>95467</v>
      </c>
      <c r="C60" s="121">
        <v>57911</v>
      </c>
      <c r="D60" s="121">
        <v>53651</v>
      </c>
    </row>
    <row r="61" spans="1:4" x14ac:dyDescent="0.25">
      <c r="A61" s="78" t="s">
        <v>59</v>
      </c>
      <c r="B61" s="122">
        <v>160042</v>
      </c>
      <c r="C61" s="121">
        <v>87140</v>
      </c>
      <c r="D61" s="121">
        <v>79360</v>
      </c>
    </row>
    <row r="62" spans="1:4" x14ac:dyDescent="0.25">
      <c r="A62" s="78" t="s">
        <v>60</v>
      </c>
      <c r="B62" s="122">
        <v>100619</v>
      </c>
      <c r="C62" s="121">
        <v>110252</v>
      </c>
      <c r="D62" s="121">
        <v>101319</v>
      </c>
    </row>
    <row r="63" spans="1:4" x14ac:dyDescent="0.25">
      <c r="A63" s="78" t="s">
        <v>61</v>
      </c>
      <c r="B63" s="122">
        <v>3254357</v>
      </c>
      <c r="C63" s="121">
        <v>1370273</v>
      </c>
      <c r="D63" s="121">
        <v>2230615</v>
      </c>
    </row>
    <row r="64" spans="1:4" x14ac:dyDescent="0.25">
      <c r="A64" s="78" t="s">
        <v>62</v>
      </c>
      <c r="B64" s="122">
        <v>38639554</v>
      </c>
      <c r="C64" s="121">
        <v>532425</v>
      </c>
      <c r="D64" s="121">
        <v>3080313</v>
      </c>
    </row>
    <row r="65" spans="1:4" x14ac:dyDescent="0.25">
      <c r="A65" s="78" t="s">
        <v>63</v>
      </c>
      <c r="B65" s="122">
        <v>169554</v>
      </c>
      <c r="C65" s="121">
        <v>170765</v>
      </c>
      <c r="D65" s="121">
        <v>155600</v>
      </c>
    </row>
    <row r="66" spans="1:4" x14ac:dyDescent="0.25">
      <c r="A66" s="78" t="s">
        <v>64</v>
      </c>
      <c r="B66" s="122">
        <v>5791730</v>
      </c>
      <c r="C66" s="121">
        <v>5848120</v>
      </c>
      <c r="D66" s="121">
        <v>5270689</v>
      </c>
    </row>
    <row r="67" spans="1:4" x14ac:dyDescent="0.25">
      <c r="A67" s="78" t="s">
        <v>65</v>
      </c>
      <c r="B67" s="122">
        <v>1375352</v>
      </c>
      <c r="C67" s="121">
        <v>1297104</v>
      </c>
      <c r="D67" s="121">
        <v>1422381</v>
      </c>
    </row>
    <row r="68" spans="1:4" x14ac:dyDescent="0.25">
      <c r="A68" s="78" t="s">
        <v>66</v>
      </c>
      <c r="B68" s="122">
        <v>1093750</v>
      </c>
      <c r="C68" s="121">
        <v>3373056</v>
      </c>
      <c r="D68" s="121">
        <v>2942147</v>
      </c>
    </row>
    <row r="69" spans="1:4" x14ac:dyDescent="0.25">
      <c r="A69" s="78" t="s">
        <v>67</v>
      </c>
      <c r="B69" s="122">
        <v>2956250</v>
      </c>
      <c r="C69" s="121">
        <v>14142240</v>
      </c>
      <c r="D69" s="121">
        <v>7269540</v>
      </c>
    </row>
    <row r="70" spans="1:4" x14ac:dyDescent="0.25">
      <c r="A70" s="78" t="s">
        <v>68</v>
      </c>
      <c r="B70" s="122">
        <v>536250</v>
      </c>
      <c r="C70" s="121">
        <v>2503200</v>
      </c>
      <c r="D70" s="121">
        <v>1258000</v>
      </c>
    </row>
    <row r="71" spans="1:4" x14ac:dyDescent="0.25">
      <c r="A71" s="78" t="s">
        <v>69</v>
      </c>
      <c r="B71" s="122">
        <v>23965000</v>
      </c>
      <c r="C71" s="121">
        <v>0</v>
      </c>
      <c r="D71" s="121">
        <v>0</v>
      </c>
    </row>
    <row r="72" spans="1:4" x14ac:dyDescent="0.25">
      <c r="B72" s="124"/>
      <c r="C72" s="123"/>
      <c r="D72" s="123"/>
    </row>
    <row r="73" spans="1:4" x14ac:dyDescent="0.25">
      <c r="A73" s="78"/>
      <c r="C73" s="123"/>
      <c r="D73" s="123"/>
    </row>
  </sheetData>
  <mergeCells count="2">
    <mergeCell ref="A1:D1"/>
    <mergeCell ref="A2:D2"/>
  </mergeCells>
  <pageMargins left="0.7" right="0.7" top="0.75" bottom="0.75" header="0.3" footer="0.3"/>
  <pageSetup scale="83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64"/>
  <sheetViews>
    <sheetView view="pageBreakPreview" zoomScale="70" zoomScaleNormal="80" zoomScaleSheetLayoutView="70" workbookViewId="0">
      <selection activeCell="P14" sqref="P14"/>
    </sheetView>
  </sheetViews>
  <sheetFormatPr defaultColWidth="8.7109375" defaultRowHeight="15" x14ac:dyDescent="0.25"/>
  <cols>
    <col min="1" max="1" width="8.7109375" style="72"/>
    <col min="2" max="2" width="24.5703125" style="72" customWidth="1"/>
    <col min="3" max="3" width="14.5703125" style="72" bestFit="1" customWidth="1"/>
    <col min="4" max="4" width="2.7109375" style="72" customWidth="1"/>
    <col min="5" max="5" width="3.28515625" style="72" customWidth="1"/>
    <col min="6" max="6" width="4.85546875" style="72" customWidth="1"/>
    <col min="7" max="7" width="41.5703125" style="72" customWidth="1"/>
    <col min="8" max="8" width="12.42578125" style="72" customWidth="1"/>
    <col min="9" max="14" width="17.42578125" style="72" bestFit="1" customWidth="1"/>
    <col min="15" max="15" width="16.28515625" style="72" bestFit="1" customWidth="1"/>
    <col min="16" max="16384" width="8.7109375" style="72"/>
  </cols>
  <sheetData>
    <row r="1" spans="2:16" ht="25.5" customHeight="1" x14ac:dyDescent="0.25">
      <c r="B1" s="126" t="s">
        <v>70</v>
      </c>
    </row>
    <row r="2" spans="2:16" x14ac:dyDescent="0.25">
      <c r="F2" s="209" t="s">
        <v>0</v>
      </c>
      <c r="G2" s="209"/>
      <c r="H2" s="209"/>
      <c r="I2" s="209"/>
      <c r="J2" s="209"/>
      <c r="K2" s="209"/>
      <c r="L2" s="209"/>
      <c r="M2" s="209"/>
      <c r="N2" s="209"/>
    </row>
    <row r="3" spans="2:16" x14ac:dyDescent="0.25">
      <c r="B3" s="127" t="s">
        <v>71</v>
      </c>
      <c r="C3" s="127"/>
      <c r="E3" s="209" t="s">
        <v>72</v>
      </c>
      <c r="F3" s="209"/>
      <c r="G3" s="209"/>
      <c r="H3" s="209"/>
      <c r="I3" s="209"/>
      <c r="J3" s="209"/>
      <c r="K3" s="209"/>
      <c r="L3" s="209"/>
      <c r="M3" s="209"/>
      <c r="N3" s="209"/>
      <c r="O3" s="128"/>
    </row>
    <row r="4" spans="2:16" x14ac:dyDescent="0.25">
      <c r="B4" s="127" t="s">
        <v>73</v>
      </c>
      <c r="C4" s="129">
        <v>8311390</v>
      </c>
      <c r="G4" s="128"/>
      <c r="H4" s="128"/>
      <c r="I4" s="212">
        <v>2013</v>
      </c>
      <c r="J4" s="212"/>
      <c r="K4" s="211">
        <v>2014</v>
      </c>
      <c r="L4" s="211"/>
      <c r="M4" s="211">
        <v>2015</v>
      </c>
      <c r="N4" s="211"/>
      <c r="O4" s="128"/>
    </row>
    <row r="5" spans="2:16" x14ac:dyDescent="0.25">
      <c r="B5" s="83" t="s">
        <v>74</v>
      </c>
      <c r="C5" s="130">
        <v>98376839</v>
      </c>
      <c r="G5" s="131" t="s">
        <v>75</v>
      </c>
      <c r="H5" s="128"/>
      <c r="I5" s="132"/>
      <c r="J5" s="132"/>
      <c r="K5" s="133"/>
      <c r="L5" s="133"/>
      <c r="M5" s="133"/>
      <c r="N5" s="133"/>
      <c r="O5" s="128"/>
    </row>
    <row r="6" spans="2:16" x14ac:dyDescent="0.25">
      <c r="B6" s="127" t="s">
        <v>76</v>
      </c>
      <c r="C6" s="130">
        <v>90996701</v>
      </c>
      <c r="G6" s="128" t="s">
        <v>77</v>
      </c>
      <c r="H6" s="128"/>
      <c r="I6" s="121">
        <f>-'Trial Balance'!B41</f>
        <v>307716148</v>
      </c>
      <c r="J6" s="128"/>
      <c r="K6" s="121">
        <f>-'Trial Balance'!C41</f>
        <v>271839067</v>
      </c>
      <c r="L6" s="128"/>
      <c r="M6" s="121">
        <f>-'Trial Balance'!D41</f>
        <v>288876206</v>
      </c>
      <c r="N6" s="128"/>
      <c r="O6" s="128"/>
    </row>
    <row r="7" spans="2:16" x14ac:dyDescent="0.25">
      <c r="G7" s="128" t="s">
        <v>78</v>
      </c>
      <c r="H7" s="128"/>
      <c r="I7" s="121">
        <f>-'Trial Balance'!B42</f>
        <v>-5621979</v>
      </c>
      <c r="J7" s="128">
        <f>SUM(I6:I7)</f>
        <v>302094169</v>
      </c>
      <c r="K7" s="121">
        <f>-'Trial Balance'!C42</f>
        <v>-12432247</v>
      </c>
      <c r="L7" s="134">
        <f>SUM(K6:K7)</f>
        <v>259406820</v>
      </c>
      <c r="M7" s="121">
        <f>-'Trial Balance'!D42</f>
        <v>-23110096</v>
      </c>
      <c r="N7" s="128">
        <f>SUM(M6:M7)</f>
        <v>265766110</v>
      </c>
      <c r="O7" s="128"/>
    </row>
    <row r="8" spans="2:16" x14ac:dyDescent="0.25">
      <c r="G8" s="128"/>
      <c r="H8" s="135" t="s">
        <v>79</v>
      </c>
      <c r="I8" s="128"/>
      <c r="J8" s="136">
        <f>J7</f>
        <v>302094169</v>
      </c>
      <c r="K8" s="128"/>
      <c r="L8" s="128">
        <f>+L7</f>
        <v>259406820</v>
      </c>
      <c r="M8" s="128"/>
      <c r="N8" s="136">
        <f>+N7</f>
        <v>265766110</v>
      </c>
      <c r="O8" s="128"/>
    </row>
    <row r="9" spans="2:16" x14ac:dyDescent="0.25">
      <c r="G9" s="131" t="s">
        <v>80</v>
      </c>
      <c r="H9" s="128"/>
      <c r="I9" s="128"/>
      <c r="J9" s="128"/>
      <c r="K9" s="128"/>
      <c r="L9" s="128"/>
      <c r="M9" s="128"/>
      <c r="N9" s="128"/>
      <c r="O9" s="128"/>
    </row>
    <row r="10" spans="2:16" x14ac:dyDescent="0.25">
      <c r="G10" s="128"/>
      <c r="H10" s="128"/>
      <c r="I10" s="121">
        <v>0</v>
      </c>
      <c r="J10" s="128"/>
      <c r="K10" s="121">
        <v>0</v>
      </c>
      <c r="L10" s="128"/>
      <c r="M10" s="121"/>
      <c r="N10" s="128"/>
      <c r="O10" s="128"/>
    </row>
    <row r="11" spans="2:16" x14ac:dyDescent="0.25">
      <c r="G11" s="78" t="s">
        <v>44</v>
      </c>
      <c r="H11" s="128"/>
      <c r="I11" s="121">
        <f>+'Trial Balance'!B46</f>
        <v>176961437</v>
      </c>
      <c r="J11" s="128"/>
      <c r="K11" s="121">
        <f>+'Trial Balance'!C46</f>
        <v>161029981</v>
      </c>
      <c r="L11" s="128"/>
      <c r="M11" s="121">
        <v>179103247.52779999</v>
      </c>
      <c r="N11" s="128"/>
      <c r="O11" s="128"/>
    </row>
    <row r="12" spans="2:16" ht="15.75" thickBot="1" x14ac:dyDescent="0.3">
      <c r="G12" s="121"/>
      <c r="H12" s="128"/>
      <c r="I12" s="137">
        <v>0</v>
      </c>
      <c r="J12" s="128">
        <f>SUM(I10:I12)</f>
        <v>176961437</v>
      </c>
      <c r="K12" s="137">
        <v>0</v>
      </c>
      <c r="L12" s="128">
        <f>SUM(K10:K12)</f>
        <v>161029981</v>
      </c>
      <c r="M12" s="137"/>
      <c r="N12" s="128">
        <f>SUM(M10:M12)</f>
        <v>179103247.52779999</v>
      </c>
      <c r="O12" s="128"/>
    </row>
    <row r="13" spans="2:16" ht="15.75" thickBot="1" x14ac:dyDescent="0.3">
      <c r="G13" s="128"/>
      <c r="H13" s="135" t="s">
        <v>81</v>
      </c>
      <c r="I13" s="128"/>
      <c r="J13" s="136">
        <f>J8-SUM(I10:I12)</f>
        <v>125132732</v>
      </c>
      <c r="K13" s="128"/>
      <c r="L13" s="201">
        <f>L8-SUM(K10:K12)</f>
        <v>98376839</v>
      </c>
      <c r="M13" s="128"/>
      <c r="N13" s="136">
        <f>N8-SUM(M10:M12)</f>
        <v>86662862.472200006</v>
      </c>
      <c r="O13" s="138">
        <f>+C5-L13</f>
        <v>0</v>
      </c>
      <c r="P13" s="127" t="s">
        <v>82</v>
      </c>
    </row>
    <row r="14" spans="2:16" x14ac:dyDescent="0.25">
      <c r="G14" s="131" t="s">
        <v>83</v>
      </c>
      <c r="H14" s="128"/>
      <c r="I14" s="128"/>
      <c r="J14" s="128"/>
      <c r="K14" s="128"/>
      <c r="L14" s="139"/>
      <c r="M14" s="98"/>
      <c r="N14" s="128"/>
      <c r="O14" s="128"/>
    </row>
    <row r="15" spans="2:16" x14ac:dyDescent="0.25">
      <c r="G15" s="121" t="s">
        <v>46</v>
      </c>
      <c r="H15" s="128"/>
      <c r="I15" s="121">
        <f>VLOOKUP(G15,'Trial Balance'!A:D,2,FALSE)</f>
        <v>1121425</v>
      </c>
      <c r="J15" s="128"/>
      <c r="K15" s="140">
        <f>VLOOKUP(G15,'Trial Balance'!A:D,3,FALSE)</f>
        <v>1161276</v>
      </c>
      <c r="L15" s="128"/>
      <c r="M15" s="121">
        <f>VLOOKUP(G15,'Trial Balance'!A:D,4,FALSE)</f>
        <v>1058391</v>
      </c>
      <c r="N15" s="128"/>
      <c r="O15" s="128"/>
    </row>
    <row r="16" spans="2:16" x14ac:dyDescent="0.25">
      <c r="G16" s="128" t="s">
        <v>65</v>
      </c>
      <c r="H16" s="128"/>
      <c r="I16" s="121">
        <f>VLOOKUP(G16,'Trial Balance'!A:D,2,FALSE)</f>
        <v>1375352</v>
      </c>
      <c r="J16" s="128"/>
      <c r="K16" s="140">
        <f>VLOOKUP(G16,'Trial Balance'!A:D,3,FALSE)</f>
        <v>1297104</v>
      </c>
      <c r="L16" s="128"/>
      <c r="M16" s="121">
        <f>VLOOKUP(G16,'Trial Balance'!A:D,4,FALSE)</f>
        <v>1422381</v>
      </c>
      <c r="N16" s="128"/>
      <c r="O16" s="128"/>
    </row>
    <row r="17" spans="7:15" x14ac:dyDescent="0.25">
      <c r="G17" s="121" t="s">
        <v>47</v>
      </c>
      <c r="H17" s="128"/>
      <c r="I17" s="121">
        <f>VLOOKUP(G17,'Trial Balance'!A:D,2,FALSE)</f>
        <v>261218</v>
      </c>
      <c r="J17" s="128"/>
      <c r="K17" s="140">
        <f>VLOOKUP(G17,'Trial Balance'!A:D,3,FALSE)</f>
        <v>235763</v>
      </c>
      <c r="L17" s="128"/>
      <c r="M17" s="121">
        <f>VLOOKUP(G17,'Trial Balance'!A:D,4,FALSE)</f>
        <v>214001</v>
      </c>
      <c r="N17" s="128"/>
      <c r="O17" s="128"/>
    </row>
    <row r="18" spans="7:15" x14ac:dyDescent="0.25">
      <c r="G18" s="121" t="s">
        <v>64</v>
      </c>
      <c r="H18" s="128"/>
      <c r="I18" s="121">
        <f>VLOOKUP(G18,'Trial Balance'!A:D,2,FALSE)</f>
        <v>5791730</v>
      </c>
      <c r="J18" s="128"/>
      <c r="K18" s="140">
        <f>VLOOKUP(G18,'Trial Balance'!A:D,3,FALSE)</f>
        <v>5848120</v>
      </c>
      <c r="L18" s="128"/>
      <c r="M18" s="121">
        <f>VLOOKUP(G18,'Trial Balance'!A:D,4,FALSE)</f>
        <v>5270689</v>
      </c>
      <c r="N18" s="128"/>
      <c r="O18" s="128"/>
    </row>
    <row r="19" spans="7:15" x14ac:dyDescent="0.25">
      <c r="G19" s="121" t="s">
        <v>60</v>
      </c>
      <c r="H19" s="128"/>
      <c r="I19" s="121">
        <f>VLOOKUP(G19,'Trial Balance'!A:D,2,FALSE)</f>
        <v>100619</v>
      </c>
      <c r="J19" s="128"/>
      <c r="K19" s="140">
        <f>VLOOKUP(G19,'Trial Balance'!A:D,3,FALSE)</f>
        <v>110252</v>
      </c>
      <c r="L19" s="128"/>
      <c r="M19" s="121">
        <f>VLOOKUP(G19,'Trial Balance'!A:D,4,FALSE)</f>
        <v>101319</v>
      </c>
      <c r="N19" s="128"/>
      <c r="O19" s="128"/>
    </row>
    <row r="20" spans="7:15" x14ac:dyDescent="0.25">
      <c r="G20" s="121" t="s">
        <v>53</v>
      </c>
      <c r="H20" s="128"/>
      <c r="I20" s="121">
        <f>VLOOKUP(G20,'Trial Balance'!A:D,2,FALSE)</f>
        <v>4506417</v>
      </c>
      <c r="J20" s="128"/>
      <c r="K20" s="140">
        <f>VLOOKUP(G20,'Trial Balance'!A:D,3,FALSE)</f>
        <v>11037039</v>
      </c>
      <c r="L20" s="128"/>
      <c r="M20" s="121">
        <f>VLOOKUP(G20,'Trial Balance'!A:D,4,FALSE)</f>
        <v>8987069</v>
      </c>
      <c r="N20" s="128"/>
      <c r="O20" s="128"/>
    </row>
    <row r="21" spans="7:15" x14ac:dyDescent="0.25">
      <c r="G21" s="128" t="s">
        <v>50</v>
      </c>
      <c r="H21" s="128"/>
      <c r="I21" s="121">
        <f>VLOOKUP(G21,'Trial Balance'!A:D,2,FALSE)</f>
        <v>166250</v>
      </c>
      <c r="J21" s="128"/>
      <c r="K21" s="140">
        <f>VLOOKUP(G21,'Trial Balance'!A:D,3,FALSE)</f>
        <v>581102</v>
      </c>
      <c r="L21" s="128"/>
      <c r="M21" s="121">
        <f>VLOOKUP(G21,'Trial Balance'!A:D,4,FALSE)</f>
        <v>617155</v>
      </c>
      <c r="N21" s="128"/>
      <c r="O21" s="128"/>
    </row>
    <row r="22" spans="7:15" x14ac:dyDescent="0.25">
      <c r="G22" s="128" t="s">
        <v>51</v>
      </c>
      <c r="H22" s="128"/>
      <c r="I22" s="121">
        <f>VLOOKUP(G22,'Trial Balance'!A:D,2,FALSE)</f>
        <v>5378689</v>
      </c>
      <c r="J22" s="128"/>
      <c r="K22" s="140">
        <f>VLOOKUP(G22,'Trial Balance'!A:D,3,FALSE)</f>
        <v>4749095</v>
      </c>
      <c r="L22" s="128"/>
      <c r="M22" s="121">
        <f>VLOOKUP(G22,'Trial Balance'!A:D,4,FALSE)</f>
        <v>4325068</v>
      </c>
      <c r="N22" s="128"/>
      <c r="O22" s="128"/>
    </row>
    <row r="23" spans="7:15" x14ac:dyDescent="0.25">
      <c r="G23" s="121" t="s">
        <v>48</v>
      </c>
      <c r="H23" s="128"/>
      <c r="I23" s="121">
        <f>VLOOKUP(G23,'Trial Balance'!A:D,2,FALSE)</f>
        <v>2028032</v>
      </c>
      <c r="J23" s="128"/>
      <c r="K23" s="140">
        <f>VLOOKUP(G23,'Trial Balance'!A:D,3,FALSE)</f>
        <v>5875403</v>
      </c>
      <c r="L23" s="128"/>
      <c r="M23" s="121">
        <f>VLOOKUP(G23,'Trial Balance'!A:D,4,FALSE)</f>
        <v>13900800</v>
      </c>
      <c r="N23" s="128"/>
      <c r="O23" s="128"/>
    </row>
    <row r="24" spans="7:15" x14ac:dyDescent="0.25">
      <c r="G24" s="121" t="s">
        <v>52</v>
      </c>
      <c r="H24" s="128"/>
      <c r="I24" s="121">
        <f>VLOOKUP(G24,'Trial Balance'!A:D,2,FALSE)</f>
        <v>1067428</v>
      </c>
      <c r="J24" s="128"/>
      <c r="K24" s="140">
        <f>VLOOKUP(G24,'Trial Balance'!A:D,3,FALSE)</f>
        <v>1045085</v>
      </c>
      <c r="L24" s="128"/>
      <c r="M24" s="121">
        <f>VLOOKUP(G24,'Trial Balance'!A:D,4,FALSE)</f>
        <v>951774</v>
      </c>
      <c r="N24" s="128"/>
      <c r="O24" s="128"/>
    </row>
    <row r="25" spans="7:15" x14ac:dyDescent="0.25">
      <c r="G25" s="121" t="s">
        <v>54</v>
      </c>
      <c r="H25" s="128"/>
      <c r="I25" s="121">
        <f>VLOOKUP(G25,'Trial Balance'!A:D,2,FALSE)</f>
        <v>76420</v>
      </c>
      <c r="J25" s="128"/>
      <c r="K25" s="140">
        <f>VLOOKUP(G25,'Trial Balance'!A:D,3,FALSE)</f>
        <v>96020</v>
      </c>
      <c r="L25" s="128"/>
      <c r="M25" s="121">
        <f>VLOOKUP(G25,'Trial Balance'!A:D,4,FALSE)</f>
        <v>87641</v>
      </c>
      <c r="N25" s="128"/>
      <c r="O25" s="128"/>
    </row>
    <row r="26" spans="7:15" x14ac:dyDescent="0.25">
      <c r="G26" s="121" t="s">
        <v>63</v>
      </c>
      <c r="H26" s="128"/>
      <c r="I26" s="121">
        <f>VLOOKUP(G26,'Trial Balance'!A:D,2,FALSE)</f>
        <v>169554</v>
      </c>
      <c r="J26" s="128"/>
      <c r="K26" s="140">
        <f>VLOOKUP(G26,'Trial Balance'!A:D,3,FALSE)</f>
        <v>170765</v>
      </c>
      <c r="L26" s="128"/>
      <c r="M26" s="121">
        <f>VLOOKUP(G26,'Trial Balance'!A:D,4,FALSE)</f>
        <v>155600</v>
      </c>
      <c r="N26" s="128"/>
      <c r="O26" s="128"/>
    </row>
    <row r="27" spans="7:15" x14ac:dyDescent="0.25">
      <c r="G27" s="121" t="s">
        <v>58</v>
      </c>
      <c r="H27" s="128"/>
      <c r="I27" s="121">
        <f>VLOOKUP(G27,'Trial Balance'!A:D,2,FALSE)</f>
        <v>95467</v>
      </c>
      <c r="J27" s="128"/>
      <c r="K27" s="140">
        <f>VLOOKUP(G27,'Trial Balance'!A:D,3,FALSE)</f>
        <v>57911</v>
      </c>
      <c r="L27" s="128"/>
      <c r="M27" s="121">
        <f>VLOOKUP(G27,'Trial Balance'!A:D,4,FALSE)</f>
        <v>53651</v>
      </c>
      <c r="N27" s="128"/>
      <c r="O27" s="128"/>
    </row>
    <row r="28" spans="7:15" x14ac:dyDescent="0.25">
      <c r="G28" s="121" t="s">
        <v>59</v>
      </c>
      <c r="H28" s="128"/>
      <c r="I28" s="121">
        <f>VLOOKUP(G28,'Trial Balance'!A:D,2,FALSE)</f>
        <v>160042</v>
      </c>
      <c r="J28" s="128"/>
      <c r="K28" s="140">
        <f>VLOOKUP(G28,'Trial Balance'!A:D,3,FALSE)</f>
        <v>87140</v>
      </c>
      <c r="L28" s="128"/>
      <c r="M28" s="121">
        <f>VLOOKUP(G28,'Trial Balance'!A:D,4,FALSE)</f>
        <v>79360</v>
      </c>
      <c r="N28" s="128"/>
      <c r="O28" s="128"/>
    </row>
    <row r="29" spans="7:15" x14ac:dyDescent="0.25">
      <c r="G29" s="121" t="s">
        <v>55</v>
      </c>
      <c r="H29" s="128"/>
      <c r="I29" s="121">
        <f>VLOOKUP(G29,'Trial Balance'!A:D,2,FALSE)</f>
        <v>21279</v>
      </c>
      <c r="J29" s="128"/>
      <c r="K29" s="140">
        <f>VLOOKUP(G29,'Trial Balance'!A:D,3,FALSE)</f>
        <v>27803</v>
      </c>
      <c r="L29" s="128"/>
      <c r="M29" s="121">
        <f>VLOOKUP(G29,'Trial Balance'!A:D,4,FALSE)</f>
        <v>25390</v>
      </c>
      <c r="N29" s="128"/>
      <c r="O29" s="128"/>
    </row>
    <row r="30" spans="7:15" x14ac:dyDescent="0.25">
      <c r="G30" s="121" t="s">
        <v>56</v>
      </c>
      <c r="H30" s="128"/>
      <c r="I30" s="121">
        <f>VLOOKUP(G30,'Trial Balance'!A:D,2,FALSE)</f>
        <v>1938736</v>
      </c>
      <c r="J30" s="128"/>
      <c r="K30" s="140">
        <f>VLOOKUP(G30,'Trial Balance'!A:D,3,FALSE)</f>
        <v>1767149</v>
      </c>
      <c r="L30" s="128"/>
      <c r="M30" s="121">
        <f>VLOOKUP(G30,'Trial Balance'!A:D,4,FALSE)</f>
        <v>1609342</v>
      </c>
      <c r="N30" s="128"/>
      <c r="O30" s="128"/>
    </row>
    <row r="31" spans="7:15" x14ac:dyDescent="0.25">
      <c r="G31" s="121" t="s">
        <v>57</v>
      </c>
      <c r="H31" s="128"/>
      <c r="I31" s="121">
        <f>VLOOKUP(G31,'Trial Balance'!A:D,2,FALSE)</f>
        <v>3750000</v>
      </c>
      <c r="J31" s="128"/>
      <c r="K31" s="140">
        <f>VLOOKUP(G31,'Trial Balance'!A:D,3,FALSE)</f>
        <v>3696000</v>
      </c>
      <c r="L31" s="128"/>
      <c r="M31" s="121">
        <f>VLOOKUP(G31,'Trial Balance'!A:D,4,FALSE)</f>
        <v>3366000</v>
      </c>
      <c r="N31" s="128"/>
      <c r="O31" s="128"/>
    </row>
    <row r="32" spans="7:15" x14ac:dyDescent="0.25">
      <c r="G32" s="121" t="s">
        <v>61</v>
      </c>
      <c r="H32" s="128"/>
      <c r="I32" s="121">
        <f>VLOOKUP(G32,'Trial Balance'!A:D,2,FALSE)</f>
        <v>3254357</v>
      </c>
      <c r="J32" s="128"/>
      <c r="K32" s="140">
        <f>VLOOKUP(G32,'Trial Balance'!A:D,3,FALSE)</f>
        <v>1370273</v>
      </c>
      <c r="L32" s="128"/>
      <c r="M32" s="121">
        <f>VLOOKUP(G32,'Trial Balance'!A:D,4,FALSE)</f>
        <v>2230615</v>
      </c>
      <c r="N32" s="128"/>
      <c r="O32" s="128"/>
    </row>
    <row r="33" spans="7:15" x14ac:dyDescent="0.25">
      <c r="G33" s="121" t="s">
        <v>62</v>
      </c>
      <c r="H33" s="128"/>
      <c r="I33" s="121">
        <f>VLOOKUP(G33,'Trial Balance'!A:D,2,FALSE)</f>
        <v>38639554</v>
      </c>
      <c r="J33" s="128"/>
      <c r="K33" s="140">
        <f>VLOOKUP(G33,'Trial Balance'!A:D,3,FALSE)</f>
        <v>532425</v>
      </c>
      <c r="L33" s="128"/>
      <c r="M33" s="121">
        <f>VLOOKUP(G33,'Trial Balance'!A:D,4,FALSE)</f>
        <v>3080313</v>
      </c>
      <c r="N33" s="128"/>
      <c r="O33" s="128"/>
    </row>
    <row r="34" spans="7:15" x14ac:dyDescent="0.25">
      <c r="G34" s="121" t="s">
        <v>45</v>
      </c>
      <c r="H34" s="128"/>
      <c r="I34" s="121">
        <f>VLOOKUP(G34,'Trial Balance'!A:D,2,FALSE)</f>
        <v>21094132</v>
      </c>
      <c r="J34" s="128"/>
      <c r="K34" s="140">
        <f>VLOOKUP(G34,'Trial Balance'!A:D,3,FALSE)</f>
        <v>18344399</v>
      </c>
      <c r="L34" s="128"/>
      <c r="M34" s="121">
        <f>VLOOKUP(G34,'Trial Balance'!A:D,4,FALSE)</f>
        <v>19706506</v>
      </c>
      <c r="N34" s="128"/>
      <c r="O34" s="128"/>
    </row>
    <row r="35" spans="7:15" x14ac:dyDescent="0.25">
      <c r="G35" s="121" t="s">
        <v>84</v>
      </c>
      <c r="H35" s="128">
        <f>VLOOKUP(G:G,'Trial Balance'!A:B,2,FALSE)</f>
        <v>0</v>
      </c>
      <c r="I35" s="121">
        <v>0</v>
      </c>
      <c r="J35" s="128"/>
      <c r="K35" s="140">
        <f>VLOOKUP(G35,'Trial Balance'!A:D,3,FALSE)</f>
        <v>504000</v>
      </c>
      <c r="L35" s="128"/>
      <c r="M35" s="121">
        <f>VLOOKUP(G35,'Trial Balance'!A:D,4,FALSE)</f>
        <v>459000</v>
      </c>
      <c r="N35" s="128"/>
      <c r="O35" s="128"/>
    </row>
    <row r="36" spans="7:15" x14ac:dyDescent="0.25">
      <c r="G36" s="141" t="s">
        <v>85</v>
      </c>
      <c r="H36" s="128"/>
      <c r="I36" s="137"/>
      <c r="J36" s="98">
        <f>SUM(I15:I36)</f>
        <v>90996701</v>
      </c>
      <c r="K36" s="134"/>
      <c r="L36" s="128">
        <f>SUM(K15:K35)</f>
        <v>58594124</v>
      </c>
      <c r="M36" s="142">
        <v>0</v>
      </c>
      <c r="N36" s="128">
        <f>SUM(M15:M36)</f>
        <v>67702065</v>
      </c>
      <c r="O36" s="128">
        <f>+J36-C6</f>
        <v>0</v>
      </c>
    </row>
    <row r="37" spans="7:15" x14ac:dyDescent="0.25">
      <c r="G37" s="128"/>
      <c r="H37" s="135" t="s">
        <v>86</v>
      </c>
      <c r="I37" s="136"/>
      <c r="J37" s="136">
        <f>J13-J36</f>
        <v>34136031</v>
      </c>
      <c r="K37" s="128"/>
      <c r="L37" s="136">
        <f>L13-L36</f>
        <v>39782715</v>
      </c>
      <c r="M37" s="128"/>
      <c r="N37" s="136">
        <f>N13-N36</f>
        <v>18960797.472200006</v>
      </c>
      <c r="O37" s="128"/>
    </row>
    <row r="38" spans="7:15" x14ac:dyDescent="0.25">
      <c r="G38" s="131" t="s">
        <v>87</v>
      </c>
      <c r="H38" s="128"/>
      <c r="I38" s="128"/>
      <c r="J38" s="143">
        <f>+C6-J17-J36</f>
        <v>0</v>
      </c>
      <c r="K38" s="128"/>
      <c r="L38" s="128"/>
      <c r="M38" s="128"/>
      <c r="N38" s="128"/>
      <c r="O38" s="128"/>
    </row>
    <row r="39" spans="7:15" x14ac:dyDescent="0.25">
      <c r="G39" s="120" t="s">
        <v>41</v>
      </c>
      <c r="H39" s="98"/>
      <c r="I39" s="120">
        <f>VLOOKUP(G39,'Trial Balance'!A:D,2,FALSE)</f>
        <v>-665079</v>
      </c>
      <c r="J39" s="98"/>
      <c r="K39" s="144">
        <f>VLOOKUP(G39,'Trial Balance'!A:D,3,FALSE)</f>
        <v>-658672</v>
      </c>
      <c r="L39" s="98"/>
      <c r="M39" s="144">
        <f>VLOOKUP(G39,'Trial Balance'!A:D,4,FALSE)</f>
        <v>-549387</v>
      </c>
      <c r="N39" s="98"/>
      <c r="O39" s="128"/>
    </row>
    <row r="40" spans="7:15" x14ac:dyDescent="0.25">
      <c r="G40" s="121" t="s">
        <v>43</v>
      </c>
      <c r="H40" s="128"/>
      <c r="I40" s="137">
        <f>I38+I33+I24</f>
        <v>39706982</v>
      </c>
      <c r="J40" s="121">
        <f>SUM(I39:I40)</f>
        <v>39041903</v>
      </c>
      <c r="K40" s="137">
        <f>VLOOKUP(G40,'Trial Balance'!A:D,3,FALSE)</f>
        <v>-147707</v>
      </c>
      <c r="L40" s="121">
        <f>SUM(K39:K40)</f>
        <v>-806379</v>
      </c>
      <c r="M40" s="137">
        <f>VLOOKUP(G40,'Trial Balance'!A:D,4,FALSE)</f>
        <v>-142168</v>
      </c>
      <c r="N40" s="121">
        <f>SUM(M39:M40)</f>
        <v>-691555</v>
      </c>
      <c r="O40" s="128"/>
    </row>
    <row r="41" spans="7:15" x14ac:dyDescent="0.25">
      <c r="G41" s="141" t="s">
        <v>88</v>
      </c>
      <c r="H41" s="128"/>
      <c r="I41" s="140"/>
      <c r="J41" s="121"/>
      <c r="K41" s="140"/>
      <c r="L41" s="121"/>
      <c r="M41" s="140"/>
      <c r="N41" s="121"/>
      <c r="O41" s="128"/>
    </row>
    <row r="42" spans="7:15" x14ac:dyDescent="0.25">
      <c r="G42" s="78" t="s">
        <v>42</v>
      </c>
      <c r="H42" s="128"/>
      <c r="I42" s="137">
        <f>VLOOKUP(G42,'Trial Balance'!A:D,2,FALSE)</f>
        <v>64288</v>
      </c>
      <c r="J42" s="140">
        <f t="shared" ref="J42" si="0">SUM(I41:I42)</f>
        <v>64288</v>
      </c>
      <c r="K42" s="145">
        <f>VLOOKUP(G42,'Trial Balance'!A:D,3,FALSE)</f>
        <v>85514</v>
      </c>
      <c r="L42" s="121">
        <f t="shared" ref="L42" si="1">SUM(K41:K42)</f>
        <v>85514</v>
      </c>
      <c r="M42" s="145">
        <f>VLOOKUP(G42,'Trial Balance'!A:D,4,FALSE)</f>
        <v>-128725</v>
      </c>
      <c r="N42" s="121">
        <f t="shared" ref="N42" si="2">SUM(M41:M42)</f>
        <v>-128725</v>
      </c>
      <c r="O42" s="128"/>
    </row>
    <row r="43" spans="7:15" x14ac:dyDescent="0.25">
      <c r="G43" s="131" t="s">
        <v>89</v>
      </c>
      <c r="H43" s="128"/>
      <c r="I43" s="128"/>
      <c r="J43" s="128"/>
      <c r="K43" s="128"/>
      <c r="L43" s="128"/>
      <c r="M43" s="128"/>
      <c r="N43" s="128"/>
      <c r="O43" s="128"/>
    </row>
    <row r="44" spans="7:15" x14ac:dyDescent="0.25">
      <c r="G44" s="128" t="s">
        <v>66</v>
      </c>
      <c r="H44" s="128"/>
      <c r="I44" s="128"/>
      <c r="J44" s="121">
        <f>+'Trial Balance'!B68</f>
        <v>1093750</v>
      </c>
      <c r="K44" s="128"/>
      <c r="L44" s="121">
        <f>+'Trial Balance'!C68</f>
        <v>3373056</v>
      </c>
      <c r="M44" s="128"/>
      <c r="N44" s="121">
        <f>+'Trial Balance'!D68</f>
        <v>2942147</v>
      </c>
      <c r="O44" s="128"/>
    </row>
    <row r="45" spans="7:15" x14ac:dyDescent="0.25">
      <c r="G45" s="128" t="s">
        <v>69</v>
      </c>
      <c r="H45" s="128"/>
      <c r="I45" s="128"/>
      <c r="J45" s="120">
        <v>23965000</v>
      </c>
      <c r="K45" s="128"/>
      <c r="L45" s="121">
        <v>0</v>
      </c>
      <c r="M45" s="128"/>
      <c r="N45" s="121">
        <v>0</v>
      </c>
      <c r="O45" s="128"/>
    </row>
    <row r="46" spans="7:15" x14ac:dyDescent="0.25">
      <c r="G46" s="131" t="s">
        <v>90</v>
      </c>
      <c r="H46" s="128"/>
      <c r="I46" s="128"/>
      <c r="J46" s="136">
        <f>J37-J40-J42-J44-J45</f>
        <v>-30028910</v>
      </c>
      <c r="K46" s="128"/>
      <c r="L46" s="136">
        <f>L37-L40-L42-L44</f>
        <v>37130524</v>
      </c>
      <c r="M46" s="128"/>
      <c r="N46" s="136">
        <f>N37-N40-N42-N44</f>
        <v>16838930.472200006</v>
      </c>
      <c r="O46" s="128"/>
    </row>
    <row r="47" spans="7:15" x14ac:dyDescent="0.25">
      <c r="G47" s="128" t="s">
        <v>91</v>
      </c>
      <c r="H47" s="128"/>
      <c r="I47" s="128"/>
      <c r="J47" s="128"/>
      <c r="K47" s="128"/>
      <c r="L47" s="128"/>
      <c r="M47" s="128"/>
      <c r="N47" s="128"/>
      <c r="O47" s="128"/>
    </row>
    <row r="48" spans="7:15" x14ac:dyDescent="0.25">
      <c r="G48" s="121" t="s">
        <v>67</v>
      </c>
      <c r="H48" s="128"/>
      <c r="I48" s="140">
        <f>VLOOKUP(G48,'Trial Balance'!A:D,2,FALSE)</f>
        <v>2956250</v>
      </c>
      <c r="J48" s="128"/>
      <c r="K48" s="140">
        <f>VLOOKUP(G48,'Trial Balance'!A:D,3,FALSE)</f>
        <v>14142240</v>
      </c>
      <c r="L48" s="128"/>
      <c r="M48" s="121">
        <v>7269540</v>
      </c>
      <c r="N48" s="128"/>
      <c r="O48" s="128"/>
    </row>
    <row r="49" spans="7:18" x14ac:dyDescent="0.25">
      <c r="G49" s="121" t="s">
        <v>68</v>
      </c>
      <c r="H49" s="128"/>
      <c r="I49" s="137">
        <f>VLOOKUP(G49,'Trial Balance'!A:D,2,FALSE)</f>
        <v>536250</v>
      </c>
      <c r="J49" s="128">
        <f>SUM(I48:I49)</f>
        <v>3492500</v>
      </c>
      <c r="K49" s="137">
        <f>VLOOKUP(G49,'Trial Balance'!A:D,3,FALSE)</f>
        <v>2503200</v>
      </c>
      <c r="L49" s="128">
        <f>SUM(K48:K49)</f>
        <v>16645440</v>
      </c>
      <c r="M49" s="137">
        <v>1258000</v>
      </c>
      <c r="N49" s="128">
        <f>SUM(M48:M49)</f>
        <v>8527540</v>
      </c>
      <c r="O49" s="128"/>
    </row>
    <row r="50" spans="7:18" ht="15.75" thickBot="1" x14ac:dyDescent="0.3">
      <c r="G50" s="128"/>
      <c r="H50" s="131" t="s">
        <v>92</v>
      </c>
      <c r="I50" s="128"/>
      <c r="J50" s="146">
        <f>J46-J49</f>
        <v>-33521410</v>
      </c>
      <c r="K50" s="128"/>
      <c r="L50" s="146">
        <f>L46-L49</f>
        <v>20485084</v>
      </c>
      <c r="M50" s="128"/>
      <c r="N50" s="112">
        <f>N46-N49</f>
        <v>8311390.4722000062</v>
      </c>
      <c r="O50" s="147">
        <f>+N50-C4</f>
        <v>0.47220000624656677</v>
      </c>
      <c r="P50" s="148" t="s">
        <v>82</v>
      </c>
      <c r="Q50" s="148"/>
      <c r="R50" s="149"/>
    </row>
    <row r="51" spans="7:18" ht="15.75" thickTop="1" x14ac:dyDescent="0.25">
      <c r="G51" s="128"/>
      <c r="H51" s="131" t="s">
        <v>93</v>
      </c>
      <c r="I51" s="128"/>
      <c r="J51" s="128">
        <f>J50/J52</f>
        <v>-4.0509256797583078</v>
      </c>
      <c r="K51" s="128"/>
      <c r="L51" s="128">
        <f>L50/L52</f>
        <v>2.475538851963746</v>
      </c>
      <c r="M51" s="128"/>
      <c r="N51" s="128">
        <f>N50/N52</f>
        <v>1.0043976401450159</v>
      </c>
      <c r="O51" s="128"/>
    </row>
    <row r="52" spans="7:18" x14ac:dyDescent="0.25">
      <c r="G52" s="128"/>
      <c r="H52" s="128" t="s">
        <v>94</v>
      </c>
      <c r="I52" s="128"/>
      <c r="J52" s="128">
        <v>8275000</v>
      </c>
      <c r="K52" s="128"/>
      <c r="L52" s="128">
        <v>8275000</v>
      </c>
      <c r="M52" s="128"/>
      <c r="N52" s="128">
        <v>8275000</v>
      </c>
      <c r="O52" s="128"/>
    </row>
    <row r="53" spans="7:18" x14ac:dyDescent="0.25">
      <c r="G53" s="128"/>
      <c r="H53" s="128"/>
      <c r="I53" s="128"/>
      <c r="J53" s="128"/>
      <c r="K53" s="128"/>
      <c r="L53" s="128"/>
      <c r="M53" s="128"/>
      <c r="N53" s="128"/>
      <c r="O53" s="128"/>
    </row>
    <row r="54" spans="7:18" x14ac:dyDescent="0.25">
      <c r="G54" s="128"/>
      <c r="H54" s="128"/>
      <c r="I54" s="128"/>
      <c r="J54" s="128"/>
      <c r="K54" s="128"/>
      <c r="L54" s="128"/>
      <c r="M54" s="128"/>
      <c r="N54" s="128"/>
      <c r="O54" s="128"/>
    </row>
    <row r="55" spans="7:18" x14ac:dyDescent="0.25">
      <c r="G55" s="128"/>
      <c r="H55" s="128"/>
      <c r="I55" s="128"/>
      <c r="J55" s="128"/>
      <c r="K55" s="128"/>
      <c r="L55" s="128"/>
      <c r="M55" s="128"/>
      <c r="N55" s="128"/>
      <c r="O55" s="128"/>
    </row>
    <row r="56" spans="7:18" x14ac:dyDescent="0.25">
      <c r="G56" s="128"/>
      <c r="H56" s="128"/>
      <c r="I56" s="128"/>
      <c r="J56" s="128"/>
      <c r="K56" s="128"/>
      <c r="L56" s="128"/>
      <c r="M56" s="128"/>
      <c r="N56" s="128"/>
      <c r="O56" s="128"/>
    </row>
    <row r="57" spans="7:18" ht="15.75" thickBot="1" x14ac:dyDescent="0.3">
      <c r="G57" s="213" t="s">
        <v>95</v>
      </c>
      <c r="H57" s="213"/>
      <c r="I57" s="213"/>
      <c r="J57" s="213"/>
      <c r="K57" s="213"/>
      <c r="L57" s="213"/>
      <c r="M57" s="213"/>
      <c r="N57" s="213"/>
      <c r="O57" s="128"/>
    </row>
    <row r="58" spans="7:18" x14ac:dyDescent="0.25">
      <c r="G58" s="128"/>
      <c r="H58" s="128"/>
      <c r="I58" s="210">
        <v>2013</v>
      </c>
      <c r="J58" s="210"/>
      <c r="K58" s="211">
        <v>2014</v>
      </c>
      <c r="L58" s="211"/>
      <c r="M58" s="211">
        <v>2015</v>
      </c>
      <c r="N58" s="211"/>
      <c r="O58" s="128"/>
    </row>
    <row r="59" spans="7:18" x14ac:dyDescent="0.25">
      <c r="G59" s="128" t="s">
        <v>96</v>
      </c>
      <c r="H59" s="128"/>
      <c r="I59" s="128"/>
      <c r="J59" s="150">
        <v>2773900</v>
      </c>
      <c r="K59" s="128"/>
      <c r="L59" s="150">
        <f>+J62</f>
        <v>-36747510</v>
      </c>
      <c r="M59" s="128"/>
      <c r="N59" s="150">
        <f>+L62</f>
        <v>-31512426</v>
      </c>
      <c r="O59" s="128"/>
    </row>
    <row r="60" spans="7:18" x14ac:dyDescent="0.25">
      <c r="G60" s="128" t="s">
        <v>97</v>
      </c>
      <c r="H60" s="128"/>
      <c r="I60" s="128"/>
      <c r="J60" s="128">
        <f>+J50</f>
        <v>-33521410</v>
      </c>
      <c r="K60" s="128"/>
      <c r="L60" s="128">
        <f>L50</f>
        <v>20485084</v>
      </c>
      <c r="M60" s="128"/>
      <c r="N60" s="128">
        <f>N50</f>
        <v>8311390.4722000062</v>
      </c>
      <c r="O60" s="128"/>
    </row>
    <row r="61" spans="7:18" x14ac:dyDescent="0.25">
      <c r="G61" s="128" t="s">
        <v>98</v>
      </c>
      <c r="H61" s="128"/>
      <c r="I61" s="128"/>
      <c r="J61" s="121">
        <v>-6000000</v>
      </c>
      <c r="K61" s="128"/>
      <c r="L61" s="121">
        <v>-15250000</v>
      </c>
      <c r="M61" s="128"/>
      <c r="N61" s="121">
        <v>-15000000</v>
      </c>
      <c r="O61" s="128"/>
    </row>
    <row r="62" spans="7:18" ht="15.75" thickBot="1" x14ac:dyDescent="0.3">
      <c r="G62" s="128" t="s">
        <v>99</v>
      </c>
      <c r="H62" s="128"/>
      <c r="I62" s="128"/>
      <c r="J62" s="146">
        <f>SUM(J59:J61)</f>
        <v>-36747510</v>
      </c>
      <c r="K62" s="128"/>
      <c r="L62" s="146">
        <f>SUM(L59:L61)</f>
        <v>-31512426</v>
      </c>
      <c r="M62" s="128"/>
      <c r="N62" s="146">
        <f>SUM(N59:N61)</f>
        <v>-38201035.527799994</v>
      </c>
      <c r="O62" s="128"/>
    </row>
    <row r="63" spans="7:18" ht="15.75" thickTop="1" x14ac:dyDescent="0.25">
      <c r="G63" s="128"/>
      <c r="H63" s="128"/>
      <c r="I63" s="128"/>
      <c r="J63" s="128"/>
      <c r="K63" s="128"/>
      <c r="L63" s="128"/>
      <c r="M63" s="128"/>
      <c r="N63" s="128"/>
      <c r="O63" s="128"/>
    </row>
    <row r="64" spans="7:18" x14ac:dyDescent="0.25">
      <c r="G64" s="128"/>
      <c r="H64" s="128"/>
      <c r="I64" s="128"/>
      <c r="J64" s="128"/>
      <c r="K64" s="128"/>
      <c r="L64" s="128"/>
      <c r="M64" s="128"/>
      <c r="N64" s="128"/>
      <c r="O64" s="128"/>
    </row>
  </sheetData>
  <mergeCells count="9">
    <mergeCell ref="I58:J58"/>
    <mergeCell ref="K58:L58"/>
    <mergeCell ref="M58:N58"/>
    <mergeCell ref="F2:N2"/>
    <mergeCell ref="E3:N3"/>
    <mergeCell ref="I4:J4"/>
    <mergeCell ref="K4:L4"/>
    <mergeCell ref="M4:N4"/>
    <mergeCell ref="G57:N57"/>
  </mergeCells>
  <pageMargins left="0.7" right="0.7" top="0.75" bottom="0.75" header="0.3" footer="0.3"/>
  <pageSetup scale="73" fitToHeight="0" orientation="landscape" horizontalDpi="4294967293" r:id="rId1"/>
  <rowBreaks count="2" manualBreakCount="2">
    <brk id="42" min="4" max="13" man="1"/>
    <brk id="53" min="4" max="13" man="1"/>
  </rowBreaks>
  <ignoredErrors>
    <ignoredError sqref="J38 I39:I40 K39 M39 I42:J42 L42 N42 I48:I49 K48 N12:N13 I15:I34 K15:K35 M15:M35 H35 J36" emptyCellReference="1"/>
    <ignoredError sqref="K7 M7" formula="1"/>
    <ignoredError sqref="K40 M40 K42 M42 K49" formula="1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showGridLines="0" view="pageBreakPreview" topLeftCell="F1" zoomScale="60" zoomScaleNormal="60" workbookViewId="0">
      <selection activeCell="X12" sqref="X12"/>
    </sheetView>
  </sheetViews>
  <sheetFormatPr defaultColWidth="8.7109375" defaultRowHeight="15" x14ac:dyDescent="0.25"/>
  <cols>
    <col min="1" max="1" width="27.28515625" style="72" hidden="1" customWidth="1"/>
    <col min="2" max="2" width="15.5703125" style="72" hidden="1" customWidth="1"/>
    <col min="3" max="5" width="0" style="72" hidden="1" customWidth="1"/>
    <col min="6" max="6" width="44.42578125" style="72" customWidth="1"/>
    <col min="7" max="7" width="15" style="72" customWidth="1"/>
    <col min="8" max="8" width="17.42578125" style="72" bestFit="1" customWidth="1"/>
    <col min="9" max="9" width="13" style="72" bestFit="1" customWidth="1"/>
    <col min="10" max="10" width="15.140625" style="72" bestFit="1" customWidth="1"/>
    <col min="11" max="11" width="13" style="72" bestFit="1" customWidth="1"/>
    <col min="12" max="12" width="15.140625" style="72" bestFit="1" customWidth="1"/>
    <col min="13" max="13" width="5.5703125" style="72" customWidth="1"/>
    <col min="14" max="14" width="42.140625" style="72" bestFit="1" customWidth="1"/>
    <col min="15" max="15" width="15.85546875" style="72" customWidth="1"/>
    <col min="16" max="16" width="14.85546875" style="72" bestFit="1" customWidth="1"/>
    <col min="17" max="17" width="15.42578125" style="72" customWidth="1"/>
    <col min="18" max="18" width="15" style="72" customWidth="1"/>
    <col min="19" max="19" width="17.5703125" style="72" customWidth="1"/>
    <col min="20" max="20" width="16.5703125" style="72" customWidth="1"/>
    <col min="21" max="16384" width="8.7109375" style="72"/>
  </cols>
  <sheetData>
    <row r="1" spans="1:20" x14ac:dyDescent="0.25">
      <c r="A1" s="127" t="s">
        <v>108</v>
      </c>
      <c r="B1" s="127"/>
      <c r="C1" s="127"/>
      <c r="D1" s="127"/>
    </row>
    <row r="2" spans="1:20" x14ac:dyDescent="0.25">
      <c r="A2" s="127"/>
      <c r="B2" s="127"/>
      <c r="C2" s="127"/>
      <c r="D2" s="127"/>
      <c r="F2" s="209" t="s">
        <v>0</v>
      </c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</row>
    <row r="3" spans="1:20" x14ac:dyDescent="0.25">
      <c r="A3" s="127"/>
      <c r="B3" s="127"/>
      <c r="C3" s="127"/>
      <c r="D3" s="127"/>
      <c r="E3" s="209" t="s">
        <v>109</v>
      </c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</row>
    <row r="4" spans="1:20" x14ac:dyDescent="0.25">
      <c r="A4" s="127"/>
      <c r="B4" s="127"/>
      <c r="C4" s="127"/>
      <c r="D4" s="127"/>
      <c r="F4" s="75"/>
      <c r="G4" s="214">
        <v>2013</v>
      </c>
      <c r="H4" s="214"/>
      <c r="I4" s="215">
        <v>2014</v>
      </c>
      <c r="J4" s="215"/>
      <c r="K4" s="215">
        <v>2015</v>
      </c>
      <c r="L4" s="215"/>
      <c r="O4" s="214">
        <v>2013</v>
      </c>
      <c r="P4" s="214"/>
      <c r="Q4" s="215">
        <v>2014</v>
      </c>
      <c r="R4" s="215"/>
      <c r="S4" s="215">
        <v>2015</v>
      </c>
      <c r="T4" s="215"/>
    </row>
    <row r="5" spans="1:20" x14ac:dyDescent="0.25">
      <c r="A5" s="127" t="s">
        <v>71</v>
      </c>
      <c r="B5" s="127"/>
      <c r="C5" s="127"/>
      <c r="D5" s="127"/>
      <c r="F5" s="71" t="s">
        <v>110</v>
      </c>
      <c r="G5" s="71"/>
      <c r="H5" s="71"/>
      <c r="I5" s="71"/>
      <c r="J5" s="71"/>
      <c r="K5" s="71"/>
      <c r="L5" s="71"/>
      <c r="N5" s="71" t="s">
        <v>111</v>
      </c>
      <c r="O5" s="71"/>
      <c r="P5" s="71"/>
      <c r="Q5" s="71"/>
      <c r="R5" s="71"/>
      <c r="S5" s="154"/>
      <c r="T5" s="154"/>
    </row>
    <row r="6" spans="1:20" x14ac:dyDescent="0.25">
      <c r="A6" s="127" t="s">
        <v>112</v>
      </c>
      <c r="B6" s="129">
        <v>113840024</v>
      </c>
      <c r="C6" s="127"/>
      <c r="D6" s="127"/>
      <c r="F6" s="71" t="s">
        <v>113</v>
      </c>
      <c r="G6" s="70"/>
      <c r="H6" s="70"/>
      <c r="I6" s="70"/>
      <c r="J6" s="70"/>
      <c r="K6" s="70"/>
      <c r="L6" s="70"/>
      <c r="N6" s="71" t="s">
        <v>114</v>
      </c>
      <c r="O6" s="70"/>
      <c r="P6" s="70"/>
      <c r="Q6" s="70"/>
      <c r="R6" s="70"/>
      <c r="S6" s="84"/>
      <c r="T6" s="84"/>
    </row>
    <row r="7" spans="1:20" x14ac:dyDescent="0.25">
      <c r="A7" s="83" t="s">
        <v>115</v>
      </c>
      <c r="B7" s="129">
        <v>92330490</v>
      </c>
      <c r="C7" s="127"/>
      <c r="D7" s="127"/>
      <c r="F7" s="77" t="s">
        <v>116</v>
      </c>
      <c r="G7" s="70"/>
      <c r="H7" s="70"/>
      <c r="I7" s="70"/>
      <c r="J7" s="70"/>
      <c r="K7" s="70"/>
      <c r="L7" s="70"/>
      <c r="N7" s="71"/>
      <c r="O7" s="70"/>
      <c r="P7" s="70"/>
      <c r="Q7" s="70"/>
      <c r="R7" s="70"/>
      <c r="S7" s="84"/>
      <c r="T7" s="84"/>
    </row>
    <row r="8" spans="1:20" x14ac:dyDescent="0.25">
      <c r="A8" s="83" t="s">
        <v>117</v>
      </c>
      <c r="B8" s="129">
        <v>50112096</v>
      </c>
      <c r="C8" s="127"/>
      <c r="D8" s="127"/>
      <c r="F8" s="70" t="s">
        <v>3</v>
      </c>
      <c r="G8" s="97">
        <v>2483</v>
      </c>
      <c r="H8" s="97"/>
      <c r="I8" s="97">
        <v>2459</v>
      </c>
      <c r="J8" s="97"/>
      <c r="K8" s="97">
        <v>2511</v>
      </c>
      <c r="L8" s="70"/>
      <c r="N8" s="70" t="s">
        <v>20</v>
      </c>
      <c r="O8" s="70"/>
      <c r="P8" s="97">
        <v>8934591</v>
      </c>
      <c r="Q8" s="70"/>
      <c r="R8" s="97">
        <v>19488866</v>
      </c>
      <c r="S8" s="84"/>
      <c r="T8" s="155">
        <v>12850648</v>
      </c>
    </row>
    <row r="9" spans="1:20" x14ac:dyDescent="0.25">
      <c r="F9" s="70" t="s">
        <v>6</v>
      </c>
      <c r="G9" s="97">
        <v>6935712</v>
      </c>
      <c r="H9" s="97"/>
      <c r="I9" s="97">
        <v>6850198</v>
      </c>
      <c r="J9" s="97"/>
      <c r="K9" s="97">
        <v>6978923</v>
      </c>
      <c r="L9" s="70"/>
      <c r="N9" s="70" t="s">
        <v>118</v>
      </c>
      <c r="O9" s="70"/>
      <c r="P9" s="97">
        <v>0</v>
      </c>
      <c r="Q9" s="70"/>
      <c r="R9" s="97">
        <v>470311</v>
      </c>
      <c r="S9" s="84"/>
      <c r="T9" s="155">
        <v>568429</v>
      </c>
    </row>
    <row r="10" spans="1:20" x14ac:dyDescent="0.25">
      <c r="F10" s="78" t="s">
        <v>4</v>
      </c>
      <c r="G10" s="97">
        <v>247646</v>
      </c>
      <c r="H10" s="70"/>
      <c r="I10" s="97">
        <v>252858</v>
      </c>
      <c r="J10" s="70"/>
      <c r="K10" s="97">
        <v>243892</v>
      </c>
      <c r="L10" s="70"/>
      <c r="N10" s="79" t="s">
        <v>21</v>
      </c>
      <c r="O10" s="70"/>
      <c r="P10" s="97">
        <v>36838</v>
      </c>
      <c r="Q10" s="70"/>
      <c r="R10" s="97">
        <v>264513</v>
      </c>
      <c r="S10" s="84"/>
      <c r="T10" s="155">
        <v>198384</v>
      </c>
    </row>
    <row r="11" spans="1:20" x14ac:dyDescent="0.25">
      <c r="F11" s="70" t="s">
        <v>5</v>
      </c>
      <c r="G11" s="156">
        <v>806288</v>
      </c>
      <c r="H11" s="107">
        <f>SUM(G8:G11)</f>
        <v>7992129</v>
      </c>
      <c r="I11" s="156">
        <v>983161</v>
      </c>
      <c r="J11" s="107">
        <f>SUM(I8:I11)</f>
        <v>8088676</v>
      </c>
      <c r="K11" s="156">
        <v>1205563</v>
      </c>
      <c r="L11" s="107">
        <f>SUM(K8:K11)</f>
        <v>8430889</v>
      </c>
      <c r="N11" s="79"/>
      <c r="O11" s="70"/>
      <c r="P11" s="97"/>
      <c r="Q11" s="107"/>
      <c r="R11" s="97"/>
      <c r="S11" s="157"/>
      <c r="T11" s="155"/>
    </row>
    <row r="12" spans="1:20" x14ac:dyDescent="0.25">
      <c r="F12" s="70"/>
      <c r="G12" s="70"/>
      <c r="H12" s="70"/>
      <c r="I12" s="70"/>
      <c r="J12" s="70"/>
      <c r="K12" s="70"/>
      <c r="L12" s="70"/>
      <c r="N12" s="80" t="s">
        <v>119</v>
      </c>
      <c r="O12" s="70"/>
      <c r="P12" s="70"/>
      <c r="Q12" s="70"/>
      <c r="R12" s="70"/>
      <c r="S12" s="84"/>
      <c r="T12" s="84"/>
    </row>
    <row r="13" spans="1:20" x14ac:dyDescent="0.25">
      <c r="F13" s="77" t="s">
        <v>120</v>
      </c>
      <c r="G13" s="70"/>
      <c r="H13" s="70"/>
      <c r="I13" s="70"/>
      <c r="J13" s="70"/>
      <c r="K13" s="70"/>
      <c r="L13" s="70"/>
      <c r="N13" s="70" t="s">
        <v>22</v>
      </c>
      <c r="O13" s="97">
        <v>1648</v>
      </c>
      <c r="P13" s="70"/>
      <c r="Q13" s="97">
        <v>9452</v>
      </c>
      <c r="R13" s="70"/>
      <c r="S13" s="155">
        <v>7089</v>
      </c>
      <c r="T13" s="84"/>
    </row>
    <row r="14" spans="1:20" x14ac:dyDescent="0.25">
      <c r="F14" s="70" t="s">
        <v>7</v>
      </c>
      <c r="G14" s="97">
        <v>20513628.387500003</v>
      </c>
      <c r="H14" s="70"/>
      <c r="I14" s="97">
        <v>56472091</v>
      </c>
      <c r="J14" s="70"/>
      <c r="K14" s="97">
        <v>49042528</v>
      </c>
      <c r="L14" s="70"/>
      <c r="N14" s="70" t="s">
        <v>23</v>
      </c>
      <c r="O14" s="156">
        <v>730</v>
      </c>
      <c r="P14" s="107">
        <f>SUM(O13:O14)</f>
        <v>2378</v>
      </c>
      <c r="Q14" s="156">
        <v>12785</v>
      </c>
      <c r="R14" s="107">
        <f>SUM(Q13:Q14)</f>
        <v>22237</v>
      </c>
      <c r="S14" s="156">
        <v>9589</v>
      </c>
      <c r="T14" s="157">
        <f>SUM(S13:S14)</f>
        <v>16678</v>
      </c>
    </row>
    <row r="15" spans="1:20" x14ac:dyDescent="0.25">
      <c r="F15" s="70" t="s">
        <v>121</v>
      </c>
      <c r="G15" s="156">
        <v>-1578524.8499999999</v>
      </c>
      <c r="H15" s="107">
        <f>SUM(G14:G15)</f>
        <v>18935103.537500001</v>
      </c>
      <c r="I15" s="156">
        <v>-2387691</v>
      </c>
      <c r="J15" s="107">
        <f>SUM(I14:I15)</f>
        <v>54084400</v>
      </c>
      <c r="K15" s="156">
        <v>-2942552</v>
      </c>
      <c r="L15" s="107">
        <f>SUM(K14:K15)</f>
        <v>46099976</v>
      </c>
      <c r="N15" s="80" t="s">
        <v>122</v>
      </c>
      <c r="O15" s="70"/>
      <c r="P15" s="70"/>
      <c r="Q15" s="70"/>
      <c r="R15" s="70"/>
      <c r="S15" s="84"/>
      <c r="T15" s="84"/>
    </row>
    <row r="16" spans="1:20" x14ac:dyDescent="0.25">
      <c r="F16" s="70" t="s">
        <v>9</v>
      </c>
      <c r="G16" s="70"/>
      <c r="H16" s="97">
        <v>0</v>
      </c>
      <c r="I16" s="70"/>
      <c r="J16" s="97">
        <v>1400000</v>
      </c>
      <c r="K16" s="70"/>
      <c r="L16" s="97">
        <v>1200000</v>
      </c>
      <c r="N16" s="70" t="s">
        <v>26</v>
      </c>
      <c r="O16" s="97">
        <v>1648</v>
      </c>
      <c r="P16" s="70"/>
      <c r="Q16" s="97">
        <v>9452</v>
      </c>
      <c r="R16" s="70"/>
      <c r="S16" s="155">
        <v>7089</v>
      </c>
      <c r="T16" s="84"/>
    </row>
    <row r="17" spans="6:20" x14ac:dyDescent="0.25">
      <c r="F17" s="70" t="s">
        <v>14</v>
      </c>
      <c r="G17" s="97">
        <v>9259</v>
      </c>
      <c r="H17" s="97"/>
      <c r="I17" s="97">
        <v>9565</v>
      </c>
      <c r="J17" s="97"/>
      <c r="K17" s="97">
        <v>9182</v>
      </c>
      <c r="L17" s="97"/>
      <c r="N17" s="70" t="s">
        <v>27</v>
      </c>
      <c r="O17" s="156">
        <v>730</v>
      </c>
      <c r="P17" s="107">
        <f>SUM(O16:O17)</f>
        <v>2378</v>
      </c>
      <c r="Q17" s="156">
        <v>12785</v>
      </c>
      <c r="R17" s="107">
        <f>SUM(Q16:Q17)</f>
        <v>22237</v>
      </c>
      <c r="S17" s="156">
        <v>9589</v>
      </c>
      <c r="T17" s="157">
        <f>SUM(S16:S17)</f>
        <v>16678</v>
      </c>
    </row>
    <row r="18" spans="6:20" x14ac:dyDescent="0.25">
      <c r="F18" s="70" t="s">
        <v>123</v>
      </c>
      <c r="G18" s="97">
        <v>23531507</v>
      </c>
      <c r="H18" s="70"/>
      <c r="I18" s="97">
        <v>75351471</v>
      </c>
      <c r="J18" s="70"/>
      <c r="K18" s="97">
        <v>65990780</v>
      </c>
      <c r="L18" s="70"/>
      <c r="N18" s="70"/>
      <c r="O18" s="155"/>
      <c r="P18" s="107"/>
      <c r="Q18" s="155"/>
      <c r="R18" s="107"/>
      <c r="S18" s="155"/>
      <c r="T18" s="157"/>
    </row>
    <row r="19" spans="6:20" x14ac:dyDescent="0.25">
      <c r="F19" s="70" t="s">
        <v>124</v>
      </c>
      <c r="G19" s="156">
        <v>-3765000</v>
      </c>
      <c r="H19" s="107">
        <f>SUM(G17:G19)</f>
        <v>19775766</v>
      </c>
      <c r="I19" s="156">
        <v>-12136103.0112</v>
      </c>
      <c r="J19" s="107">
        <f>SUM(I17:I19)</f>
        <v>63224932.988800004</v>
      </c>
      <c r="K19" s="156">
        <v>-10558525</v>
      </c>
      <c r="L19" s="107">
        <f>SUM(K17:K19)</f>
        <v>55441437</v>
      </c>
      <c r="N19" s="77" t="s">
        <v>125</v>
      </c>
      <c r="O19" s="70"/>
      <c r="P19" s="70"/>
      <c r="Q19" s="70"/>
      <c r="R19" s="70"/>
      <c r="S19" s="84"/>
      <c r="T19" s="84"/>
    </row>
    <row r="20" spans="6:20" x14ac:dyDescent="0.25">
      <c r="F20" s="70"/>
      <c r="G20" s="155"/>
      <c r="H20" s="107"/>
      <c r="I20" s="155"/>
      <c r="J20" s="107"/>
      <c r="K20" s="155"/>
      <c r="L20" s="107"/>
      <c r="N20" s="70" t="s">
        <v>126</v>
      </c>
      <c r="O20" s="97">
        <v>0</v>
      </c>
      <c r="P20" s="70"/>
      <c r="Q20" s="97">
        <v>3205440</v>
      </c>
      <c r="R20" s="70"/>
      <c r="S20" s="155">
        <v>6011540</v>
      </c>
      <c r="T20" s="84"/>
    </row>
    <row r="21" spans="6:20" x14ac:dyDescent="0.25">
      <c r="F21" s="77" t="s">
        <v>127</v>
      </c>
      <c r="G21" s="70"/>
      <c r="H21" s="70"/>
      <c r="I21" s="70"/>
      <c r="J21" s="70"/>
      <c r="K21" s="70"/>
      <c r="L21" s="70"/>
      <c r="N21" s="70" t="s">
        <v>24</v>
      </c>
      <c r="O21" s="120">
        <v>7541</v>
      </c>
      <c r="P21" s="70"/>
      <c r="Q21" s="120">
        <v>132256</v>
      </c>
      <c r="R21" s="70"/>
      <c r="S21" s="144">
        <v>99192</v>
      </c>
      <c r="T21" s="84"/>
    </row>
    <row r="22" spans="6:20" x14ac:dyDescent="0.25">
      <c r="F22" s="70" t="s">
        <v>12</v>
      </c>
      <c r="G22" s="97">
        <v>1829143</v>
      </c>
      <c r="H22" s="70"/>
      <c r="I22" s="97">
        <v>2830474</v>
      </c>
      <c r="J22" s="70"/>
      <c r="K22" s="97">
        <v>2667722</v>
      </c>
      <c r="L22" s="70"/>
      <c r="N22" s="70" t="s">
        <v>25</v>
      </c>
      <c r="O22" s="145">
        <v>3519</v>
      </c>
      <c r="P22" s="107">
        <f>SUM(O21:O22)</f>
        <v>11060</v>
      </c>
      <c r="Q22" s="145">
        <v>61630</v>
      </c>
      <c r="R22" s="107">
        <f>SUM(Q20:Q22)</f>
        <v>3399326</v>
      </c>
      <c r="S22" s="145">
        <v>46200</v>
      </c>
      <c r="T22" s="157">
        <f>SUM(S20:S22)</f>
        <v>6156932</v>
      </c>
    </row>
    <row r="23" spans="6:20" x14ac:dyDescent="0.25">
      <c r="F23" s="70" t="s">
        <v>13</v>
      </c>
      <c r="G23" s="156">
        <v>250000</v>
      </c>
      <c r="H23" s="107">
        <f>SUM(G22:G23)</f>
        <v>2079143</v>
      </c>
      <c r="I23" s="156">
        <v>0</v>
      </c>
      <c r="J23" s="107">
        <f>SUM(I22:I23)</f>
        <v>2830474</v>
      </c>
      <c r="K23" s="156">
        <v>0</v>
      </c>
      <c r="L23" s="107">
        <f>SUM(K22:K23)</f>
        <v>2667722</v>
      </c>
      <c r="R23" s="84"/>
    </row>
    <row r="24" spans="6:20" ht="15.75" thickBot="1" x14ac:dyDescent="0.3">
      <c r="F24" s="81" t="s">
        <v>128</v>
      </c>
      <c r="G24" s="70"/>
      <c r="H24" s="158">
        <f>H11+H15+H16+H17+H19+H23</f>
        <v>48782141.537500001</v>
      </c>
      <c r="I24" s="70"/>
      <c r="J24" s="158">
        <f>J11+J15+J16+J17+J19+J23</f>
        <v>129628482.9888</v>
      </c>
      <c r="K24" s="70"/>
      <c r="L24" s="158">
        <f>L11+L15+L16+L17+L19+L23</f>
        <v>113840024</v>
      </c>
      <c r="N24" s="70" t="s">
        <v>129</v>
      </c>
      <c r="O24" s="70"/>
      <c r="P24" s="120">
        <v>0</v>
      </c>
      <c r="Q24" s="70"/>
      <c r="R24" s="120">
        <v>677640</v>
      </c>
      <c r="S24" s="84"/>
      <c r="T24" s="144">
        <v>721480</v>
      </c>
    </row>
    <row r="25" spans="6:20" ht="15.75" thickTop="1" x14ac:dyDescent="0.25">
      <c r="F25" s="70"/>
      <c r="G25" s="70"/>
      <c r="H25" s="70"/>
      <c r="I25" s="70"/>
      <c r="J25" s="70"/>
      <c r="K25" s="70"/>
      <c r="L25" s="70"/>
      <c r="N25" s="77" t="s">
        <v>130</v>
      </c>
      <c r="O25" s="70"/>
      <c r="P25" s="70"/>
      <c r="Q25" s="70"/>
      <c r="R25" s="70"/>
      <c r="S25" s="84"/>
      <c r="T25" s="84"/>
    </row>
    <row r="26" spans="6:20" x14ac:dyDescent="0.25">
      <c r="F26" s="71" t="s">
        <v>131</v>
      </c>
      <c r="G26" s="70"/>
      <c r="H26" s="70"/>
      <c r="I26" s="70"/>
      <c r="J26" s="70"/>
      <c r="K26" s="107"/>
      <c r="L26" s="70"/>
      <c r="N26" s="70" t="s">
        <v>32</v>
      </c>
      <c r="O26" s="120">
        <v>0</v>
      </c>
      <c r="P26" s="70"/>
      <c r="Q26" s="120">
        <v>504000</v>
      </c>
      <c r="R26" s="70"/>
      <c r="S26" s="144">
        <v>459000</v>
      </c>
      <c r="T26" s="84"/>
    </row>
    <row r="27" spans="6:20" x14ac:dyDescent="0.25">
      <c r="F27" s="70" t="s">
        <v>15</v>
      </c>
      <c r="G27" s="70"/>
      <c r="H27" s="97">
        <v>146250</v>
      </c>
      <c r="I27" s="70"/>
      <c r="J27" s="97">
        <v>131040</v>
      </c>
      <c r="K27" s="70"/>
      <c r="L27" s="97">
        <v>131040</v>
      </c>
      <c r="N27" s="70" t="s">
        <v>33</v>
      </c>
      <c r="O27" s="145">
        <v>6000000</v>
      </c>
      <c r="P27" s="107">
        <f>SUM(O26:O27)</f>
        <v>6000000</v>
      </c>
      <c r="Q27" s="145">
        <v>15250000</v>
      </c>
      <c r="R27" s="107">
        <f>SUM(Q26:Q27)</f>
        <v>15754000</v>
      </c>
      <c r="S27" s="145">
        <v>15000000</v>
      </c>
      <c r="T27" s="157">
        <f>SUM(S26:S27)</f>
        <v>15459000</v>
      </c>
    </row>
    <row r="28" spans="6:20" ht="15.75" thickBot="1" x14ac:dyDescent="0.3">
      <c r="F28" s="70" t="s">
        <v>16</v>
      </c>
      <c r="G28" s="70"/>
      <c r="H28" s="97">
        <v>779882</v>
      </c>
      <c r="I28" s="70"/>
      <c r="J28" s="97">
        <v>698774.63040000002</v>
      </c>
      <c r="K28" s="70"/>
      <c r="L28" s="97">
        <v>833774.63040000002</v>
      </c>
      <c r="N28" s="81"/>
      <c r="O28" s="70"/>
      <c r="P28" s="158">
        <f>SUM(P8:P27)</f>
        <v>14987245</v>
      </c>
      <c r="Q28" s="70"/>
      <c r="R28" s="158">
        <f>SUM(R8:R27)</f>
        <v>40099130</v>
      </c>
      <c r="S28" s="84"/>
      <c r="T28" s="158">
        <f>SUM(T8:T27)</f>
        <v>35988229</v>
      </c>
    </row>
    <row r="29" spans="6:20" ht="15.75" thickTop="1" x14ac:dyDescent="0.25">
      <c r="F29" s="70" t="s">
        <v>17</v>
      </c>
      <c r="G29" s="97">
        <v>541522</v>
      </c>
      <c r="H29" s="97"/>
      <c r="I29" s="97">
        <v>3280589</v>
      </c>
      <c r="J29" s="70"/>
      <c r="K29" s="97">
        <v>3280589</v>
      </c>
      <c r="L29" s="70"/>
      <c r="N29" s="71" t="s">
        <v>132</v>
      </c>
      <c r="O29" s="70"/>
      <c r="P29" s="70"/>
      <c r="Q29" s="70"/>
      <c r="R29" s="70"/>
      <c r="S29" s="84"/>
      <c r="T29" s="84"/>
    </row>
    <row r="30" spans="6:20" x14ac:dyDescent="0.25">
      <c r="F30" s="70" t="s">
        <v>133</v>
      </c>
      <c r="G30" s="156">
        <v>-205000</v>
      </c>
      <c r="H30" s="107">
        <f>SUM(G29:G30)</f>
        <v>336522</v>
      </c>
      <c r="I30" s="156">
        <v>-786102</v>
      </c>
      <c r="J30" s="107">
        <f>SUM(I29:I30)</f>
        <v>2494487</v>
      </c>
      <c r="K30" s="156">
        <f>I30-617155</f>
        <v>-1403257</v>
      </c>
      <c r="L30" s="107">
        <f>SUM(K29:K30)</f>
        <v>1877332</v>
      </c>
      <c r="N30" s="70" t="s">
        <v>29</v>
      </c>
      <c r="O30" s="70"/>
      <c r="P30" s="120">
        <v>12500000</v>
      </c>
      <c r="Q30" s="70"/>
      <c r="R30" s="120">
        <v>52231360</v>
      </c>
      <c r="S30" s="84"/>
      <c r="T30" s="144">
        <v>47481737</v>
      </c>
    </row>
    <row r="31" spans="6:20" ht="15.75" thickBot="1" x14ac:dyDescent="0.3">
      <c r="F31" s="81" t="s">
        <v>134</v>
      </c>
      <c r="G31" s="70"/>
      <c r="H31" s="158">
        <f>H27+H28+H30</f>
        <v>1262654</v>
      </c>
      <c r="I31" s="70"/>
      <c r="J31" s="158">
        <f>J27+J28+J30</f>
        <v>3324301.6304000001</v>
      </c>
      <c r="K31" s="70"/>
      <c r="L31" s="158">
        <f>L27+L28+L30</f>
        <v>2842146.6304000001</v>
      </c>
      <c r="N31" s="81" t="s">
        <v>135</v>
      </c>
      <c r="O31" s="70"/>
      <c r="P31" s="159">
        <f>P30</f>
        <v>12500000</v>
      </c>
      <c r="Q31" s="70"/>
      <c r="R31" s="158">
        <f>R30</f>
        <v>52231360</v>
      </c>
      <c r="S31" s="84"/>
      <c r="T31" s="158">
        <f>T30</f>
        <v>47481737</v>
      </c>
    </row>
    <row r="32" spans="6:20" ht="16.5" thickTop="1" thickBot="1" x14ac:dyDescent="0.3">
      <c r="F32" s="70"/>
      <c r="G32" s="70"/>
      <c r="H32" s="70"/>
      <c r="I32" s="70"/>
      <c r="J32" s="70"/>
      <c r="K32" s="70"/>
      <c r="L32" s="70"/>
      <c r="N32" s="81" t="s">
        <v>136</v>
      </c>
      <c r="O32" s="70"/>
      <c r="P32" s="158">
        <f>P28+P31</f>
        <v>27487245</v>
      </c>
      <c r="Q32" s="70"/>
      <c r="R32" s="158">
        <f>R28+R31</f>
        <v>92330490</v>
      </c>
      <c r="S32" s="84"/>
      <c r="T32" s="158">
        <f>T28+T31</f>
        <v>83469966</v>
      </c>
    </row>
    <row r="33" spans="1:20" ht="15.75" thickTop="1" x14ac:dyDescent="0.25">
      <c r="H33" s="152"/>
      <c r="K33" s="152"/>
      <c r="N33" s="81" t="s">
        <v>137</v>
      </c>
      <c r="O33" s="70"/>
      <c r="P33" s="157"/>
      <c r="Q33" s="70"/>
      <c r="R33" s="157"/>
      <c r="S33" s="84"/>
      <c r="T33" s="157"/>
    </row>
    <row r="34" spans="1:20" x14ac:dyDescent="0.25">
      <c r="F34" s="71" t="s">
        <v>138</v>
      </c>
      <c r="G34" s="70"/>
      <c r="H34" s="70">
        <v>0</v>
      </c>
      <c r="I34" s="70"/>
      <c r="J34" s="70">
        <v>0</v>
      </c>
      <c r="K34" s="70"/>
      <c r="L34" s="70">
        <v>0</v>
      </c>
      <c r="N34" s="160" t="s">
        <v>139</v>
      </c>
      <c r="O34" s="70"/>
      <c r="P34" s="157">
        <v>0</v>
      </c>
      <c r="Q34" s="70"/>
      <c r="R34" s="157">
        <v>12762360</v>
      </c>
      <c r="S34" s="84"/>
      <c r="T34" s="157">
        <v>12040880</v>
      </c>
    </row>
    <row r="35" spans="1:20" ht="15.75" thickBot="1" x14ac:dyDescent="0.3">
      <c r="F35" s="71"/>
      <c r="G35" s="70"/>
      <c r="H35" s="97">
        <v>0</v>
      </c>
      <c r="I35" s="70"/>
      <c r="J35" s="97">
        <v>0</v>
      </c>
      <c r="K35" s="70"/>
      <c r="L35" s="97">
        <v>0</v>
      </c>
      <c r="N35" s="71" t="s">
        <v>213</v>
      </c>
      <c r="O35" s="70"/>
      <c r="P35" s="157"/>
      <c r="Q35" s="70"/>
      <c r="R35" s="158">
        <f>R34</f>
        <v>12762360</v>
      </c>
      <c r="S35" s="84"/>
      <c r="T35" s="158">
        <f>T34</f>
        <v>12040880</v>
      </c>
    </row>
    <row r="36" spans="1:20" ht="15.75" thickTop="1" x14ac:dyDescent="0.25">
      <c r="F36" s="71" t="s">
        <v>140</v>
      </c>
      <c r="G36" s="70"/>
      <c r="H36" s="97">
        <v>67300.737499999988</v>
      </c>
      <c r="I36" s="70"/>
      <c r="J36" s="97"/>
      <c r="K36" s="70"/>
      <c r="L36" s="97"/>
      <c r="N36" s="71"/>
      <c r="O36" s="70"/>
      <c r="P36" s="157"/>
      <c r="Q36" s="70"/>
      <c r="R36" s="157"/>
      <c r="S36" s="84"/>
      <c r="T36" s="157"/>
    </row>
    <row r="37" spans="1:20" ht="15.75" thickBot="1" x14ac:dyDescent="0.3">
      <c r="F37" s="71" t="s">
        <v>141</v>
      </c>
      <c r="G37" s="70"/>
      <c r="H37" s="158">
        <f>H24+H31+H35+H36</f>
        <v>50112096.274999999</v>
      </c>
      <c r="I37" s="70"/>
      <c r="J37" s="158">
        <f>J24+J31+J35+J36</f>
        <v>132952784.61920001</v>
      </c>
      <c r="K37" s="70"/>
      <c r="L37" s="158">
        <f>L24+L31+L35+L36</f>
        <v>116682170.6304</v>
      </c>
      <c r="N37" s="71" t="s">
        <v>142</v>
      </c>
      <c r="O37" s="70"/>
      <c r="P37" s="70"/>
      <c r="Q37" s="70"/>
      <c r="R37" s="70"/>
      <c r="S37" s="84"/>
      <c r="T37" s="84"/>
    </row>
    <row r="38" spans="1:20" ht="15.75" thickTop="1" x14ac:dyDescent="0.25">
      <c r="H38" s="152"/>
      <c r="N38" s="70" t="s">
        <v>35</v>
      </c>
      <c r="O38" s="70"/>
      <c r="P38" s="120">
        <v>10131250</v>
      </c>
      <c r="Q38" s="70"/>
      <c r="R38" s="120">
        <v>10131250</v>
      </c>
      <c r="S38" s="84"/>
      <c r="T38" s="144">
        <v>10131250</v>
      </c>
    </row>
    <row r="39" spans="1:20" x14ac:dyDescent="0.25">
      <c r="H39" s="152"/>
      <c r="N39" s="70" t="s">
        <v>36</v>
      </c>
      <c r="O39" s="70"/>
      <c r="P39" s="120">
        <v>9278750</v>
      </c>
      <c r="Q39" s="120"/>
      <c r="R39" s="120">
        <v>9278750</v>
      </c>
      <c r="S39" s="84"/>
      <c r="T39" s="144">
        <v>9278750</v>
      </c>
    </row>
    <row r="40" spans="1:20" x14ac:dyDescent="0.25">
      <c r="H40" s="152"/>
      <c r="N40" s="70" t="s">
        <v>143</v>
      </c>
      <c r="O40" s="70"/>
      <c r="P40" s="98">
        <v>3214851</v>
      </c>
      <c r="Q40" s="98"/>
      <c r="R40" s="98">
        <v>8449935</v>
      </c>
      <c r="S40" s="161"/>
      <c r="T40" s="161">
        <v>1761325</v>
      </c>
    </row>
    <row r="41" spans="1:20" ht="15.75" thickBot="1" x14ac:dyDescent="0.3">
      <c r="F41" s="127"/>
      <c r="G41" s="127"/>
      <c r="N41" s="70" t="s">
        <v>144</v>
      </c>
      <c r="O41" s="70"/>
      <c r="P41" s="158">
        <f>SUM(P38:P40)</f>
        <v>22624851</v>
      </c>
      <c r="Q41" s="107"/>
      <c r="R41" s="158">
        <f t="shared" ref="R41" si="0">SUM(R38:R40)</f>
        <v>27859935</v>
      </c>
      <c r="S41" s="157"/>
      <c r="T41" s="158">
        <f t="shared" ref="T41" si="1">SUM(T38:T40)</f>
        <v>21171325</v>
      </c>
    </row>
    <row r="42" spans="1:20" ht="15.75" thickTop="1" x14ac:dyDescent="0.25">
      <c r="A42" s="72" t="s">
        <v>71</v>
      </c>
      <c r="F42" s="127"/>
      <c r="G42" s="127"/>
      <c r="J42" s="152"/>
      <c r="N42" s="70"/>
      <c r="O42" s="70"/>
      <c r="P42" s="107"/>
      <c r="Q42" s="70"/>
      <c r="R42" s="70"/>
      <c r="S42" s="84"/>
      <c r="T42" s="84"/>
    </row>
    <row r="43" spans="1:20" ht="15.75" thickBot="1" x14ac:dyDescent="0.3">
      <c r="A43" s="72" t="s">
        <v>102</v>
      </c>
      <c r="B43" s="162">
        <v>21171325</v>
      </c>
      <c r="F43" s="127"/>
      <c r="G43" s="127"/>
      <c r="N43" s="71" t="s">
        <v>145</v>
      </c>
      <c r="O43" s="70"/>
      <c r="P43" s="158">
        <f>P32+P41+P35</f>
        <v>50112096</v>
      </c>
      <c r="Q43" s="70"/>
      <c r="R43" s="158">
        <f>R32+R41+R34</f>
        <v>132952785</v>
      </c>
      <c r="S43" s="84"/>
      <c r="T43" s="158">
        <f>T32+T41+T35</f>
        <v>116682171</v>
      </c>
    </row>
    <row r="44" spans="1:20" ht="15.75" thickTop="1" x14ac:dyDescent="0.25">
      <c r="A44" s="72" t="s">
        <v>104</v>
      </c>
      <c r="B44" s="162">
        <v>27859935</v>
      </c>
      <c r="F44" s="127"/>
      <c r="G44" s="129"/>
      <c r="O44" s="127" t="s">
        <v>146</v>
      </c>
      <c r="P44" s="163">
        <f>+P43-H37</f>
        <v>-0.27499999850988388</v>
      </c>
      <c r="Q44" s="127"/>
      <c r="R44" s="163">
        <f>+R43-J37</f>
        <v>0.38079999387264252</v>
      </c>
      <c r="S44" s="127"/>
      <c r="T44" s="163">
        <f>+T43-L37</f>
        <v>0.36959999799728394</v>
      </c>
    </row>
    <row r="45" spans="1:20" x14ac:dyDescent="0.25">
      <c r="A45" s="72" t="s">
        <v>105</v>
      </c>
      <c r="B45" s="162">
        <v>22624851</v>
      </c>
      <c r="F45" s="127"/>
      <c r="G45" s="129"/>
      <c r="H45" s="127"/>
      <c r="P45" s="164"/>
      <c r="Q45" s="164"/>
      <c r="R45" s="164"/>
      <c r="S45" s="164"/>
      <c r="T45" s="164"/>
    </row>
    <row r="46" spans="1:20" x14ac:dyDescent="0.25">
      <c r="F46" s="127"/>
      <c r="G46" s="129"/>
      <c r="H46" s="127"/>
    </row>
    <row r="49" spans="14:15" x14ac:dyDescent="0.25">
      <c r="O49" s="127"/>
    </row>
    <row r="50" spans="14:15" x14ac:dyDescent="0.25">
      <c r="O50" s="127"/>
    </row>
    <row r="51" spans="14:15" x14ac:dyDescent="0.25">
      <c r="N51" s="127"/>
      <c r="O51" s="127"/>
    </row>
    <row r="52" spans="14:15" x14ac:dyDescent="0.25">
      <c r="N52" s="127"/>
      <c r="O52" s="127"/>
    </row>
    <row r="53" spans="14:15" x14ac:dyDescent="0.25">
      <c r="N53" s="127"/>
      <c r="O53" s="127"/>
    </row>
    <row r="54" spans="14:15" x14ac:dyDescent="0.25">
      <c r="N54" s="127"/>
      <c r="O54" s="127"/>
    </row>
  </sheetData>
  <mergeCells count="8">
    <mergeCell ref="F2:T2"/>
    <mergeCell ref="E3:T3"/>
    <mergeCell ref="G4:H4"/>
    <mergeCell ref="I4:J4"/>
    <mergeCell ref="K4:L4"/>
    <mergeCell ref="O4:P4"/>
    <mergeCell ref="Q4:R4"/>
    <mergeCell ref="S4:T4"/>
  </mergeCells>
  <pageMargins left="0.7" right="0.7" top="0.75" bottom="0.75" header="0.3" footer="0.3"/>
  <pageSetup scale="44" fitToHeight="0" orientation="landscape" r:id="rId1"/>
  <ignoredErrors>
    <ignoredError sqref="P43 H24 J24 L24 P28 R28 T28 J37 L37" emptyCellReference="1"/>
    <ignoredError sqref="P22" formulaRange="1"/>
    <ignoredError sqref="K3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13"/>
  <sheetViews>
    <sheetView showGridLines="0" view="pageBreakPreview" topLeftCell="G1" zoomScale="120" zoomScaleNormal="100" zoomScaleSheetLayoutView="120" workbookViewId="0">
      <selection activeCell="I14" sqref="I14"/>
    </sheetView>
  </sheetViews>
  <sheetFormatPr defaultColWidth="8.7109375" defaultRowHeight="15" x14ac:dyDescent="0.25"/>
  <cols>
    <col min="1" max="1" width="8.7109375" style="72"/>
    <col min="2" max="2" width="31.7109375" style="72" hidden="1" customWidth="1"/>
    <col min="3" max="3" width="14.5703125" style="72" hidden="1" customWidth="1"/>
    <col min="4" max="4" width="0" style="72" hidden="1" customWidth="1"/>
    <col min="5" max="5" width="11.5703125" style="72" hidden="1" customWidth="1"/>
    <col min="6" max="6" width="0" style="72" hidden="1" customWidth="1"/>
    <col min="7" max="7" width="13" style="72" customWidth="1"/>
    <col min="8" max="8" width="8.7109375" style="72"/>
    <col min="9" max="9" width="13" style="72" customWidth="1"/>
    <col min="10" max="10" width="13" style="72" bestFit="1" customWidth="1"/>
    <col min="11" max="11" width="8.7109375" style="72"/>
    <col min="12" max="12" width="13.7109375" style="72" bestFit="1" customWidth="1"/>
    <col min="13" max="13" width="8.7109375" style="72"/>
    <col min="14" max="14" width="13.7109375" style="72" bestFit="1" customWidth="1"/>
    <col min="15" max="16384" width="8.7109375" style="72"/>
  </cols>
  <sheetData>
    <row r="2" spans="2:16" x14ac:dyDescent="0.25">
      <c r="G2" s="209" t="s">
        <v>0</v>
      </c>
      <c r="H2" s="209"/>
      <c r="I2" s="209"/>
      <c r="J2" s="209"/>
      <c r="K2" s="209"/>
      <c r="L2" s="209"/>
      <c r="M2" s="209"/>
      <c r="N2" s="209"/>
      <c r="O2" s="209"/>
      <c r="P2" s="209"/>
    </row>
    <row r="3" spans="2:16" x14ac:dyDescent="0.25">
      <c r="B3" s="127" t="s">
        <v>100</v>
      </c>
      <c r="C3" s="127"/>
      <c r="D3" s="127"/>
      <c r="E3" s="127"/>
      <c r="G3" s="209" t="s">
        <v>101</v>
      </c>
      <c r="H3" s="209"/>
      <c r="I3" s="209"/>
      <c r="J3" s="209"/>
      <c r="K3" s="209"/>
      <c r="L3" s="209"/>
      <c r="M3" s="209"/>
      <c r="N3" s="209"/>
      <c r="O3" s="209"/>
      <c r="P3" s="209"/>
    </row>
    <row r="4" spans="2:16" ht="15.75" thickBot="1" x14ac:dyDescent="0.3">
      <c r="B4" s="127"/>
      <c r="C4" s="127"/>
      <c r="D4" s="127"/>
      <c r="E4" s="127"/>
      <c r="G4" s="216" t="s">
        <v>95</v>
      </c>
      <c r="H4" s="216"/>
      <c r="I4" s="216"/>
      <c r="J4" s="216"/>
      <c r="K4" s="216"/>
      <c r="L4" s="216"/>
      <c r="M4" s="216"/>
      <c r="N4" s="216"/>
    </row>
    <row r="5" spans="2:16" x14ac:dyDescent="0.25">
      <c r="B5" s="127" t="s">
        <v>71</v>
      </c>
      <c r="C5" s="127"/>
      <c r="D5" s="127"/>
      <c r="E5" s="127"/>
      <c r="G5" s="42"/>
      <c r="H5" s="42"/>
      <c r="I5" s="217">
        <v>2013</v>
      </c>
      <c r="J5" s="217"/>
      <c r="K5" s="209">
        <v>2014</v>
      </c>
      <c r="L5" s="209"/>
      <c r="M5" s="209">
        <v>2015</v>
      </c>
      <c r="N5" s="209"/>
    </row>
    <row r="6" spans="2:16" x14ac:dyDescent="0.25">
      <c r="B6" s="127" t="s">
        <v>102</v>
      </c>
      <c r="C6" s="129">
        <v>21171325</v>
      </c>
      <c r="D6" s="127"/>
      <c r="E6" s="127"/>
      <c r="G6" s="42" t="s">
        <v>103</v>
      </c>
      <c r="H6" s="42"/>
      <c r="I6" s="42"/>
      <c r="J6" s="121">
        <f>-'Trial Balance'!B39</f>
        <v>2773900</v>
      </c>
      <c r="K6" s="42"/>
      <c r="L6" s="150">
        <f>+J9</f>
        <v>-36747510</v>
      </c>
      <c r="M6" s="42"/>
      <c r="N6" s="150">
        <f>+L9</f>
        <v>-31512426</v>
      </c>
    </row>
    <row r="7" spans="2:16" x14ac:dyDescent="0.25">
      <c r="B7" s="127" t="s">
        <v>104</v>
      </c>
      <c r="C7" s="129">
        <v>27859935</v>
      </c>
      <c r="D7" s="127"/>
      <c r="E7" s="127"/>
      <c r="G7" s="42" t="s">
        <v>92</v>
      </c>
      <c r="H7" s="42"/>
      <c r="I7" s="42"/>
      <c r="J7" s="128">
        <f>+'Income Statement'!J50</f>
        <v>-33521410</v>
      </c>
      <c r="K7" s="42"/>
      <c r="L7" s="123">
        <f>+'Income Statement'!L50</f>
        <v>20485084</v>
      </c>
      <c r="M7" s="42"/>
      <c r="N7" s="123">
        <v>8311390</v>
      </c>
    </row>
    <row r="8" spans="2:16" x14ac:dyDescent="0.25">
      <c r="B8" s="127" t="s">
        <v>105</v>
      </c>
      <c r="C8" s="129">
        <v>22624851</v>
      </c>
      <c r="D8" s="127"/>
      <c r="E8" s="127"/>
      <c r="G8" s="42" t="s">
        <v>106</v>
      </c>
      <c r="H8" s="42"/>
      <c r="I8" s="42"/>
      <c r="J8" s="121">
        <v>-6000000</v>
      </c>
      <c r="K8" s="42"/>
      <c r="L8" s="121">
        <v>-15250000</v>
      </c>
      <c r="M8" s="42"/>
      <c r="N8" s="121">
        <v>-15000000</v>
      </c>
    </row>
    <row r="9" spans="2:16" ht="15.75" thickBot="1" x14ac:dyDescent="0.3">
      <c r="G9" s="42" t="s">
        <v>107</v>
      </c>
      <c r="H9" s="42"/>
      <c r="I9" s="42"/>
      <c r="J9" s="146">
        <f>SUM(J6:J8)</f>
        <v>-36747510</v>
      </c>
      <c r="K9" s="42"/>
      <c r="L9" s="151">
        <f>SUM(L6:L8)</f>
        <v>-31512426</v>
      </c>
      <c r="M9" s="42"/>
      <c r="N9" s="151">
        <f>SUM(N6:N8)</f>
        <v>-38201036</v>
      </c>
    </row>
    <row r="10" spans="2:16" ht="15.75" thickTop="1" x14ac:dyDescent="0.25">
      <c r="G10" s="42"/>
      <c r="H10" s="42"/>
      <c r="I10" s="42"/>
      <c r="J10" s="128"/>
      <c r="K10" s="42"/>
      <c r="L10" s="42"/>
      <c r="M10" s="42"/>
      <c r="N10" s="42"/>
    </row>
    <row r="11" spans="2:16" x14ac:dyDescent="0.25">
      <c r="B11" s="42"/>
      <c r="C11" s="42"/>
      <c r="D11" s="42"/>
      <c r="E11" s="128"/>
      <c r="F11" s="42"/>
      <c r="G11" s="42"/>
      <c r="H11" s="42"/>
      <c r="I11" s="42"/>
    </row>
    <row r="12" spans="2:16" x14ac:dyDescent="0.25">
      <c r="B12" s="42"/>
      <c r="C12" s="42"/>
      <c r="D12" s="42"/>
      <c r="E12" s="128"/>
      <c r="F12" s="42"/>
      <c r="G12" s="42"/>
      <c r="H12" s="42"/>
      <c r="I12" s="42"/>
    </row>
    <row r="13" spans="2:16" x14ac:dyDescent="0.25">
      <c r="E13" s="152"/>
      <c r="G13" s="153"/>
      <c r="I13" s="153"/>
    </row>
  </sheetData>
  <mergeCells count="6">
    <mergeCell ref="G2:P2"/>
    <mergeCell ref="G3:P3"/>
    <mergeCell ref="G4:N4"/>
    <mergeCell ref="I5:J5"/>
    <mergeCell ref="K5:L5"/>
    <mergeCell ref="M5:N5"/>
  </mergeCells>
  <pageMargins left="0.7" right="0.7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showGridLines="0" view="pageBreakPreview" topLeftCell="A4" zoomScaleNormal="80" zoomScaleSheetLayoutView="100" workbookViewId="0">
      <selection activeCell="A11" sqref="A11"/>
    </sheetView>
  </sheetViews>
  <sheetFormatPr defaultColWidth="8.7109375" defaultRowHeight="15" x14ac:dyDescent="0.25"/>
  <cols>
    <col min="1" max="1" width="52.5703125" style="84" bestFit="1" customWidth="1"/>
    <col min="2" max="2" width="12.28515625" style="84" bestFit="1" customWidth="1"/>
    <col min="3" max="3" width="8.7109375" style="84" customWidth="1"/>
    <col min="4" max="4" width="15.7109375" style="84" customWidth="1"/>
    <col min="5" max="5" width="8.7109375" style="84" customWidth="1"/>
    <col min="6" max="6" width="47.7109375" style="84" bestFit="1" customWidth="1"/>
    <col min="7" max="7" width="11.28515625" style="84" bestFit="1" customWidth="1"/>
    <col min="8" max="8" width="5.42578125" style="84" bestFit="1" customWidth="1"/>
    <col min="9" max="9" width="12.7109375" style="84" bestFit="1" customWidth="1"/>
    <col min="10" max="10" width="5.42578125" style="84" bestFit="1" customWidth="1"/>
    <col min="11" max="11" width="13.5703125" style="84" bestFit="1" customWidth="1"/>
    <col min="12" max="12" width="23.140625" style="84" bestFit="1" customWidth="1"/>
    <col min="13" max="16384" width="8.7109375" style="84"/>
  </cols>
  <sheetData>
    <row r="1" spans="1:21" ht="14.45" customHeight="1" x14ac:dyDescent="0.25">
      <c r="A1" s="83" t="s">
        <v>147</v>
      </c>
      <c r="B1" s="83"/>
      <c r="C1" s="83"/>
      <c r="D1" s="83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1" ht="14.45" customHeight="1" x14ac:dyDescent="0.25">
      <c r="A2" s="83"/>
      <c r="B2" s="83"/>
      <c r="C2" s="83"/>
      <c r="D2" s="83"/>
      <c r="F2" s="209" t="s">
        <v>0</v>
      </c>
      <c r="G2" s="209"/>
      <c r="H2" s="209"/>
      <c r="I2" s="209"/>
      <c r="J2" s="209"/>
      <c r="K2" s="209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spans="1:21" ht="14.45" customHeight="1" x14ac:dyDescent="0.25">
      <c r="A3" s="83"/>
      <c r="B3" s="83"/>
      <c r="C3" s="83"/>
      <c r="D3" s="83"/>
      <c r="F3" s="209" t="s">
        <v>148</v>
      </c>
      <c r="G3" s="209"/>
      <c r="H3" s="209"/>
      <c r="I3" s="209"/>
      <c r="J3" s="209"/>
      <c r="K3" s="209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14.45" customHeight="1" x14ac:dyDescent="0.3">
      <c r="A4" s="83"/>
      <c r="B4" s="83"/>
      <c r="C4" s="83"/>
      <c r="D4" s="83"/>
      <c r="F4" s="86"/>
      <c r="G4" s="87"/>
      <c r="H4" s="87"/>
      <c r="I4" s="87"/>
      <c r="J4" s="88"/>
      <c r="K4" s="88"/>
    </row>
    <row r="5" spans="1:21" ht="14.45" customHeight="1" x14ac:dyDescent="0.25">
      <c r="A5" s="83" t="s">
        <v>71</v>
      </c>
      <c r="B5" s="83"/>
      <c r="C5" s="83"/>
      <c r="D5" s="83"/>
      <c r="F5" s="89"/>
      <c r="G5" s="90">
        <v>2013</v>
      </c>
      <c r="H5" s="91"/>
      <c r="I5" s="90">
        <v>2014</v>
      </c>
      <c r="J5" s="88"/>
      <c r="K5" s="90">
        <v>2015</v>
      </c>
      <c r="L5" s="230" t="s">
        <v>268</v>
      </c>
    </row>
    <row r="6" spans="1:21" ht="14.45" customHeight="1" x14ac:dyDescent="0.25">
      <c r="A6" s="83" t="s">
        <v>150</v>
      </c>
      <c r="B6" s="92">
        <v>20775751</v>
      </c>
      <c r="C6" s="83"/>
      <c r="D6" s="93"/>
      <c r="F6" s="94" t="s">
        <v>151</v>
      </c>
      <c r="G6" s="87"/>
      <c r="H6" s="87"/>
      <c r="I6" s="87"/>
      <c r="J6" s="88"/>
      <c r="K6" s="88"/>
    </row>
    <row r="7" spans="1:21" x14ac:dyDescent="0.25">
      <c r="A7" s="83" t="s">
        <v>152</v>
      </c>
      <c r="B7" s="92">
        <v>-2575449</v>
      </c>
      <c r="C7" s="83"/>
      <c r="D7" s="83"/>
      <c r="F7" s="95" t="s">
        <v>92</v>
      </c>
      <c r="G7" s="96">
        <f>+'Income Statement'!J50</f>
        <v>-33521410</v>
      </c>
      <c r="H7" s="97"/>
      <c r="I7" s="96">
        <f>+'Income Statement'!L50</f>
        <v>20485084</v>
      </c>
      <c r="J7" s="98"/>
      <c r="K7" s="99">
        <f>+'Income Statement'!N50</f>
        <v>8311390.4722000062</v>
      </c>
    </row>
    <row r="8" spans="1:21" x14ac:dyDescent="0.25">
      <c r="A8" s="83" t="s">
        <v>153</v>
      </c>
      <c r="B8" s="92">
        <v>213488</v>
      </c>
      <c r="C8" s="83"/>
      <c r="D8" s="83"/>
      <c r="F8" s="95"/>
      <c r="G8" s="98"/>
      <c r="H8" s="98"/>
      <c r="I8" s="98"/>
      <c r="J8" s="98"/>
      <c r="K8" s="99"/>
    </row>
    <row r="9" spans="1:21" x14ac:dyDescent="0.25">
      <c r="A9" s="83"/>
      <c r="B9" s="83"/>
      <c r="C9" s="83"/>
      <c r="D9" s="83"/>
      <c r="F9" s="100" t="s">
        <v>155</v>
      </c>
      <c r="G9" s="98"/>
      <c r="H9" s="98"/>
      <c r="I9" s="98"/>
      <c r="J9" s="98"/>
      <c r="K9" s="99"/>
    </row>
    <row r="10" spans="1:21" x14ac:dyDescent="0.25">
      <c r="F10" s="95" t="s">
        <v>204</v>
      </c>
      <c r="G10" s="98"/>
      <c r="H10" s="98"/>
      <c r="I10" s="99">
        <f>+'Income Statement'!K21</f>
        <v>581102</v>
      </c>
      <c r="J10" s="98"/>
      <c r="K10" s="99">
        <f>'Trial Balance'!D52</f>
        <v>617155</v>
      </c>
    </row>
    <row r="11" spans="1:21" x14ac:dyDescent="0.25">
      <c r="F11" s="95" t="s">
        <v>205</v>
      </c>
      <c r="G11" s="96">
        <f>-'Balance Sheet'!H15</f>
        <v>-18935103.537500001</v>
      </c>
      <c r="H11" s="96"/>
      <c r="I11" s="96">
        <f>-'Balance Sheet'!J15+'Balance Sheet'!H15</f>
        <v>-35149296.462499999</v>
      </c>
      <c r="J11" s="98"/>
      <c r="K11" s="99">
        <v>7984424</v>
      </c>
    </row>
    <row r="12" spans="1:21" x14ac:dyDescent="0.25">
      <c r="F12" s="95" t="s">
        <v>156</v>
      </c>
      <c r="G12" s="96">
        <f>-'Balance Sheet'!G17</f>
        <v>-9259</v>
      </c>
      <c r="H12" s="96"/>
      <c r="I12" s="96">
        <f>+'Balance Sheet'!G17-'Balance Sheet'!I17</f>
        <v>-306</v>
      </c>
      <c r="J12" s="98"/>
      <c r="K12" s="96">
        <f>+'Balance Sheet'!I17-'Balance Sheet'!K17</f>
        <v>383</v>
      </c>
    </row>
    <row r="13" spans="1:21" x14ac:dyDescent="0.25">
      <c r="F13" s="95" t="s">
        <v>157</v>
      </c>
      <c r="G13" s="96">
        <f>+'Balance Sheet'!G18+'Balance Sheet'!G19</f>
        <v>19766507</v>
      </c>
      <c r="H13" s="96"/>
      <c r="I13" s="96">
        <f>-'Balance Sheet'!J19+'Balance Sheet'!H19</f>
        <v>-43449166.988800004</v>
      </c>
      <c r="J13" s="98"/>
      <c r="K13" s="96">
        <f>+'Balance Sheet'!J19-'Balance Sheet'!L19</f>
        <v>7783495.9888000041</v>
      </c>
    </row>
    <row r="14" spans="1:21" x14ac:dyDescent="0.25">
      <c r="F14" s="95" t="s">
        <v>158</v>
      </c>
      <c r="G14" s="96">
        <f>-'Balance Sheet'!H23</f>
        <v>-2079143</v>
      </c>
      <c r="H14" s="96"/>
      <c r="I14" s="96">
        <f>+'Balance Sheet'!H23-'Balance Sheet'!J23</f>
        <v>-751331</v>
      </c>
      <c r="J14" s="98"/>
      <c r="K14" s="96">
        <f>+'Balance Sheet'!J23-'Balance Sheet'!L23</f>
        <v>162752</v>
      </c>
    </row>
    <row r="15" spans="1:21" x14ac:dyDescent="0.25">
      <c r="F15" s="95" t="s">
        <v>159</v>
      </c>
      <c r="G15" s="96">
        <v>0</v>
      </c>
      <c r="H15" s="96"/>
      <c r="I15" s="96">
        <f>+'Balance Sheet'!R9</f>
        <v>470311</v>
      </c>
      <c r="J15" s="98"/>
      <c r="K15" s="96">
        <f>+'Balance Sheet'!T9-'Balance Sheet'!R9</f>
        <v>98118</v>
      </c>
    </row>
    <row r="16" spans="1:21" x14ac:dyDescent="0.25">
      <c r="F16" s="95" t="s">
        <v>160</v>
      </c>
      <c r="G16" s="96">
        <f>+'Balance Sheet'!P14</f>
        <v>2378</v>
      </c>
      <c r="H16" s="96"/>
      <c r="I16" s="96">
        <f>+'Balance Sheet'!R14-'Balance Sheet'!P14</f>
        <v>19859</v>
      </c>
      <c r="J16" s="98"/>
      <c r="K16" s="96">
        <f>+'Balance Sheet'!T14-'Balance Sheet'!R14</f>
        <v>-5559</v>
      </c>
    </row>
    <row r="17" spans="6:11" x14ac:dyDescent="0.25">
      <c r="F17" s="95" t="s">
        <v>161</v>
      </c>
      <c r="G17" s="96">
        <f>+'Balance Sheet'!P17</f>
        <v>2378</v>
      </c>
      <c r="H17" s="96"/>
      <c r="I17" s="96">
        <f>+'Balance Sheet'!R17-'Balance Sheet'!P17</f>
        <v>19859</v>
      </c>
      <c r="J17" s="98"/>
      <c r="K17" s="96">
        <f>+'Balance Sheet'!T17-'Balance Sheet'!R17</f>
        <v>-5559</v>
      </c>
    </row>
    <row r="18" spans="6:11" x14ac:dyDescent="0.25">
      <c r="F18" s="95" t="s">
        <v>162</v>
      </c>
      <c r="G18" s="96">
        <f>+'Balance Sheet'!P22</f>
        <v>11060</v>
      </c>
      <c r="H18" s="96"/>
      <c r="I18" s="96">
        <f>+'Balance Sheet'!R22-'Balance Sheet'!P22</f>
        <v>3388266</v>
      </c>
      <c r="J18" s="98"/>
      <c r="K18" s="96">
        <f>+'Balance Sheet'!T22-'Balance Sheet'!R22</f>
        <v>2757606</v>
      </c>
    </row>
    <row r="19" spans="6:11" x14ac:dyDescent="0.25">
      <c r="F19" s="95" t="s">
        <v>163</v>
      </c>
      <c r="G19" s="96">
        <v>0</v>
      </c>
      <c r="H19" s="96"/>
      <c r="I19" s="96">
        <f>+'Balance Sheet'!R24</f>
        <v>677640</v>
      </c>
      <c r="J19" s="98"/>
      <c r="K19" s="96">
        <f>-'Balance Sheet'!R24+'Balance Sheet'!T24</f>
        <v>43840</v>
      </c>
    </row>
    <row r="20" spans="6:11" x14ac:dyDescent="0.25">
      <c r="F20" s="95" t="s">
        <v>164</v>
      </c>
      <c r="G20" s="96">
        <f>+'Balance Sheet'!P27</f>
        <v>6000000</v>
      </c>
      <c r="H20" s="96"/>
      <c r="I20" s="96">
        <v>18544129</v>
      </c>
      <c r="J20" s="98"/>
      <c r="K20" s="96">
        <v>-6972295</v>
      </c>
    </row>
    <row r="21" spans="6:11" x14ac:dyDescent="0.25">
      <c r="F21" s="95"/>
      <c r="G21" s="98"/>
      <c r="H21" s="97"/>
      <c r="I21" s="96"/>
      <c r="J21" s="98"/>
      <c r="K21" s="99"/>
    </row>
    <row r="22" spans="6:11" x14ac:dyDescent="0.25">
      <c r="F22" s="100" t="s">
        <v>165</v>
      </c>
      <c r="G22" s="101">
        <f>SUM(G7:G20)</f>
        <v>-28762592.537500001</v>
      </c>
      <c r="H22" s="97"/>
      <c r="I22" s="101">
        <f>SUM(I7:I20)</f>
        <v>-35163850.451300003</v>
      </c>
      <c r="J22" s="98"/>
      <c r="K22" s="101">
        <f>SUM(K7:K21)</f>
        <v>20775751.46100001</v>
      </c>
    </row>
    <row r="23" spans="6:11" ht="15.75" thickBot="1" x14ac:dyDescent="0.3">
      <c r="F23" s="94" t="s">
        <v>167</v>
      </c>
      <c r="G23" s="102">
        <f>SUM(G22:G22)</f>
        <v>-28762592.537500001</v>
      </c>
      <c r="H23" s="102"/>
      <c r="I23" s="103">
        <f>SUM(I22:I22)</f>
        <v>-35163850.451300003</v>
      </c>
      <c r="J23" s="104"/>
      <c r="K23" s="104">
        <f>SUM(K22:K22)</f>
        <v>20775751.46100001</v>
      </c>
    </row>
    <row r="24" spans="6:11" ht="15.75" thickTop="1" x14ac:dyDescent="0.25">
      <c r="F24" s="95"/>
      <c r="G24" s="105"/>
      <c r="H24" s="106"/>
      <c r="I24" s="105"/>
      <c r="J24" s="107"/>
      <c r="K24" s="98"/>
    </row>
    <row r="25" spans="6:11" x14ac:dyDescent="0.25">
      <c r="F25" s="95" t="s">
        <v>168</v>
      </c>
      <c r="G25" s="105"/>
      <c r="H25" s="106"/>
      <c r="I25" s="105"/>
      <c r="J25" s="107"/>
      <c r="K25" s="107"/>
    </row>
    <row r="26" spans="6:11" x14ac:dyDescent="0.25">
      <c r="F26" s="95" t="s">
        <v>169</v>
      </c>
      <c r="G26" s="96">
        <v>-67301</v>
      </c>
      <c r="H26" s="97"/>
      <c r="I26" s="96">
        <f>+'Balance Sheet'!H36</f>
        <v>67300.737499999988</v>
      </c>
      <c r="J26" s="98"/>
      <c r="K26" s="98"/>
    </row>
    <row r="27" spans="6:11" x14ac:dyDescent="0.25">
      <c r="F27" s="95" t="s">
        <v>170</v>
      </c>
      <c r="G27" s="96">
        <v>-146250</v>
      </c>
      <c r="H27" s="97"/>
      <c r="I27" s="96">
        <v>15210</v>
      </c>
      <c r="J27" s="98"/>
      <c r="K27" s="98"/>
    </row>
    <row r="28" spans="6:11" x14ac:dyDescent="0.25">
      <c r="F28" s="95" t="s">
        <v>171</v>
      </c>
      <c r="G28" s="96">
        <v>-779882</v>
      </c>
      <c r="H28" s="97"/>
      <c r="I28" s="96">
        <v>81107.7696</v>
      </c>
      <c r="J28" s="98"/>
      <c r="K28" s="98">
        <v>-135000</v>
      </c>
    </row>
    <row r="29" spans="6:11" x14ac:dyDescent="0.25">
      <c r="F29" s="108" t="s">
        <v>172</v>
      </c>
      <c r="G29" s="98">
        <v>-541521</v>
      </c>
      <c r="H29" s="98"/>
      <c r="I29" s="98">
        <v>-2739067.4106000001</v>
      </c>
      <c r="J29" s="98"/>
      <c r="K29" s="98"/>
    </row>
    <row r="30" spans="6:11" x14ac:dyDescent="0.25">
      <c r="F30" s="87" t="s">
        <v>173</v>
      </c>
      <c r="G30" s="97">
        <v>-715864</v>
      </c>
      <c r="H30" s="97"/>
      <c r="I30" s="97"/>
      <c r="J30" s="98"/>
      <c r="K30" s="98"/>
    </row>
    <row r="31" spans="6:11" x14ac:dyDescent="0.25">
      <c r="F31" s="95" t="s">
        <v>174</v>
      </c>
      <c r="G31" s="96">
        <v>0</v>
      </c>
      <c r="H31" s="97"/>
      <c r="I31" s="96"/>
      <c r="J31" s="98"/>
      <c r="K31" s="98"/>
    </row>
    <row r="32" spans="6:11" ht="15.75" thickBot="1" x14ac:dyDescent="0.3">
      <c r="F32" s="94" t="s">
        <v>175</v>
      </c>
      <c r="G32" s="109">
        <f>SUM(G26:G31)</f>
        <v>-2250818</v>
      </c>
      <c r="H32" s="109"/>
      <c r="I32" s="110">
        <f>SUM(I26:I31)</f>
        <v>-2575448.9035</v>
      </c>
      <c r="J32" s="110"/>
      <c r="K32" s="110">
        <f>SUM(K26:K31)</f>
        <v>-135000</v>
      </c>
    </row>
    <row r="33" spans="6:11" ht="15.75" thickTop="1" x14ac:dyDescent="0.25">
      <c r="F33" s="95"/>
      <c r="G33" s="96"/>
      <c r="H33" s="106"/>
      <c r="I33" s="105"/>
      <c r="J33" s="107"/>
      <c r="K33" s="107"/>
    </row>
    <row r="34" spans="6:11" x14ac:dyDescent="0.25">
      <c r="F34" s="111" t="s">
        <v>176</v>
      </c>
      <c r="G34" s="105"/>
      <c r="H34" s="106"/>
      <c r="I34" s="105"/>
      <c r="J34" s="107"/>
      <c r="K34" s="107"/>
    </row>
    <row r="35" spans="6:11" x14ac:dyDescent="0.25">
      <c r="F35" s="108" t="s">
        <v>177</v>
      </c>
      <c r="G35" s="98">
        <f>10131250+'[1]balance sheet'!$G$34+2773900</f>
        <v>22183900</v>
      </c>
      <c r="H35" s="98"/>
      <c r="I35" s="98">
        <v>0</v>
      </c>
      <c r="J35" s="98"/>
      <c r="K35" s="98">
        <v>0</v>
      </c>
    </row>
    <row r="36" spans="6:11" x14ac:dyDescent="0.25">
      <c r="F36" s="87" t="s">
        <v>178</v>
      </c>
      <c r="G36" s="97">
        <v>12500000</v>
      </c>
      <c r="H36" s="97"/>
      <c r="I36" s="97">
        <v>37921360</v>
      </c>
      <c r="J36" s="98"/>
      <c r="K36" s="98">
        <v>-20427263</v>
      </c>
    </row>
    <row r="37" spans="6:11" ht="15.75" thickBot="1" x14ac:dyDescent="0.3">
      <c r="F37" s="94" t="s">
        <v>179</v>
      </c>
      <c r="G37" s="112">
        <f>SUM(G35:G36)</f>
        <v>34683900</v>
      </c>
      <c r="H37" s="104">
        <f>SUM(H35:H36)</f>
        <v>0</v>
      </c>
      <c r="I37" s="104">
        <f>SUM(I35:I36)</f>
        <v>37921360</v>
      </c>
      <c r="J37" s="104">
        <f>SUM(J35:J36)</f>
        <v>0</v>
      </c>
      <c r="K37" s="104">
        <f>SUM(K35:K36)</f>
        <v>-20427263</v>
      </c>
    </row>
    <row r="38" spans="6:11" ht="8.25" customHeight="1" thickTop="1" x14ac:dyDescent="0.25">
      <c r="F38" s="113"/>
      <c r="G38" s="107"/>
      <c r="H38" s="107"/>
      <c r="I38" s="107"/>
      <c r="J38" s="107"/>
      <c r="K38" s="107"/>
    </row>
    <row r="39" spans="6:11" x14ac:dyDescent="0.25">
      <c r="F39" s="113" t="s">
        <v>180</v>
      </c>
      <c r="G39" s="98">
        <f>G37+G32+G23</f>
        <v>3670489.4624999985</v>
      </c>
      <c r="H39" s="98"/>
      <c r="I39" s="114">
        <f>I37+I32+I23</f>
        <v>182060.64519999921</v>
      </c>
      <c r="J39" s="114"/>
      <c r="K39" s="114">
        <f>K37+K32+K23</f>
        <v>213488.46100001037</v>
      </c>
    </row>
    <row r="40" spans="6:11" x14ac:dyDescent="0.25">
      <c r="F40" s="88"/>
      <c r="G40" s="98"/>
      <c r="H40" s="98"/>
      <c r="I40" s="98"/>
      <c r="J40" s="98"/>
      <c r="K40" s="98"/>
    </row>
    <row r="41" spans="6:11" x14ac:dyDescent="0.25">
      <c r="F41" s="113" t="s">
        <v>181</v>
      </c>
      <c r="G41" s="98">
        <v>0</v>
      </c>
      <c r="H41" s="98"/>
      <c r="I41" s="98">
        <v>7904615</v>
      </c>
      <c r="J41" s="98"/>
      <c r="K41" s="98">
        <f>I43</f>
        <v>8086675.6451999992</v>
      </c>
    </row>
    <row r="42" spans="6:11" x14ac:dyDescent="0.25">
      <c r="F42" s="113"/>
      <c r="G42" s="98"/>
      <c r="H42" s="98"/>
      <c r="I42" s="98" t="s">
        <v>206</v>
      </c>
      <c r="J42" s="98"/>
      <c r="K42" s="98"/>
    </row>
    <row r="43" spans="6:11" ht="15.75" thickBot="1" x14ac:dyDescent="0.3">
      <c r="F43" s="113" t="s">
        <v>182</v>
      </c>
      <c r="G43" s="112">
        <f>G39+G41</f>
        <v>3670489.4624999985</v>
      </c>
      <c r="H43" s="112">
        <f t="shared" ref="H43" si="0">H39+H41</f>
        <v>0</v>
      </c>
      <c r="I43" s="112">
        <f>I39+I41</f>
        <v>8086675.6451999992</v>
      </c>
      <c r="J43" s="112"/>
      <c r="K43" s="112">
        <f>K39+K41</f>
        <v>8300164.1062000096</v>
      </c>
    </row>
    <row r="44" spans="6:11" ht="15.75" thickTop="1" x14ac:dyDescent="0.25">
      <c r="F44" s="88"/>
      <c r="G44" s="98"/>
      <c r="H44" s="98"/>
      <c r="I44" s="98"/>
      <c r="J44" s="98"/>
      <c r="K44" s="98"/>
    </row>
    <row r="45" spans="6:11" x14ac:dyDescent="0.25">
      <c r="F45" s="113" t="s">
        <v>181</v>
      </c>
      <c r="G45" s="98">
        <v>0</v>
      </c>
      <c r="H45" s="98"/>
      <c r="I45" s="98">
        <f>+G47</f>
        <v>3670489.4624999985</v>
      </c>
      <c r="J45" s="98"/>
      <c r="K45" s="98">
        <f>+I47</f>
        <v>4416186.1827000007</v>
      </c>
    </row>
    <row r="46" spans="6:11" x14ac:dyDescent="0.25">
      <c r="F46" s="113"/>
      <c r="G46" s="98"/>
      <c r="H46" s="98"/>
      <c r="I46" s="98"/>
      <c r="J46" s="98"/>
      <c r="K46" s="98"/>
    </row>
    <row r="47" spans="6:11" ht="15.75" thickBot="1" x14ac:dyDescent="0.3">
      <c r="F47" s="113" t="s">
        <v>182</v>
      </c>
      <c r="G47" s="112">
        <f>+G43-G45</f>
        <v>3670489.4624999985</v>
      </c>
      <c r="H47" s="112"/>
      <c r="I47" s="112">
        <f>+I43-I45</f>
        <v>4416186.1827000007</v>
      </c>
      <c r="J47" s="112"/>
      <c r="K47" s="112">
        <f>+K43-K45</f>
        <v>3883977.9235000089</v>
      </c>
    </row>
    <row r="48" spans="6:11" ht="15.75" thickTop="1" x14ac:dyDescent="0.25"/>
  </sheetData>
  <mergeCells count="2">
    <mergeCell ref="F2:K2"/>
    <mergeCell ref="F3:K3"/>
  </mergeCells>
  <pageMargins left="0.7" right="0.7" top="0.75" bottom="0.75" header="0.3" footer="0.3"/>
  <pageSetup scale="94" fitToHeight="0" orientation="portrait" r:id="rId1"/>
  <ignoredErrors>
    <ignoredError sqref="G22 I22 I32 K32 H37 J37 H43" emptyCellReferenc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view="pageBreakPreview" topLeftCell="A7" zoomScaleNormal="100" zoomScaleSheetLayoutView="100" workbookViewId="0">
      <selection activeCell="I22" sqref="I22"/>
    </sheetView>
  </sheetViews>
  <sheetFormatPr defaultColWidth="8.7109375" defaultRowHeight="15" x14ac:dyDescent="0.25"/>
  <cols>
    <col min="1" max="1" width="35.7109375" style="17" customWidth="1"/>
    <col min="2" max="2" width="14.5703125" style="17" bestFit="1" customWidth="1"/>
    <col min="3" max="3" width="8.7109375" style="17"/>
    <col min="4" max="4" width="15.7109375" style="17" customWidth="1"/>
    <col min="5" max="5" width="8.7109375" style="17"/>
    <col min="6" max="6" width="48.7109375" style="17" customWidth="1"/>
    <col min="7" max="7" width="14.5703125" style="17" hidden="1" customWidth="1"/>
    <col min="8" max="8" width="8.7109375" style="17"/>
    <col min="9" max="9" width="15" style="17" bestFit="1" customWidth="1"/>
    <col min="10" max="10" width="8.7109375" style="17"/>
    <col min="11" max="11" width="16.85546875" style="17" bestFit="1" customWidth="1"/>
    <col min="12" max="12" width="10" style="17" bestFit="1" customWidth="1"/>
    <col min="13" max="13" width="9" style="17" bestFit="1" customWidth="1"/>
    <col min="14" max="16384" width="8.7109375" style="17"/>
  </cols>
  <sheetData>
    <row r="1" spans="1:21" s="4" customFormat="1" ht="14.45" customHeight="1" x14ac:dyDescent="0.25">
      <c r="A1" s="2" t="s">
        <v>147</v>
      </c>
      <c r="B1" s="2"/>
      <c r="C1" s="2"/>
      <c r="D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4" customFormat="1" ht="14.45" customHeight="1" x14ac:dyDescent="0.25">
      <c r="A2" s="2"/>
      <c r="B2" s="2"/>
      <c r="C2" s="2"/>
      <c r="D2" s="2"/>
      <c r="F2" s="218" t="s">
        <v>0</v>
      </c>
      <c r="G2" s="218"/>
      <c r="H2" s="218"/>
      <c r="I2" s="218"/>
      <c r="J2" s="218"/>
      <c r="K2" s="218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s="4" customFormat="1" ht="14.45" customHeight="1" x14ac:dyDescent="0.25">
      <c r="A3" s="2"/>
      <c r="B3" s="2"/>
      <c r="C3" s="2"/>
      <c r="D3" s="2"/>
      <c r="F3" s="218" t="s">
        <v>148</v>
      </c>
      <c r="G3" s="218"/>
      <c r="H3" s="218"/>
      <c r="I3" s="218"/>
      <c r="J3" s="218"/>
      <c r="K3" s="218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s="4" customFormat="1" ht="14.45" customHeight="1" x14ac:dyDescent="0.25">
      <c r="A4" s="2"/>
      <c r="B4" s="2"/>
      <c r="C4" s="2"/>
      <c r="D4" s="2"/>
      <c r="F4" s="8"/>
      <c r="G4" s="9"/>
      <c r="H4" s="9"/>
      <c r="I4" s="9"/>
      <c r="J4" s="10"/>
      <c r="K4" s="10"/>
    </row>
    <row r="5" spans="1:21" s="4" customFormat="1" ht="14.45" customHeight="1" x14ac:dyDescent="0.25">
      <c r="A5" s="2" t="s">
        <v>71</v>
      </c>
      <c r="B5" s="2"/>
      <c r="C5" s="2"/>
      <c r="D5" s="2"/>
      <c r="F5" s="11" t="s">
        <v>149</v>
      </c>
      <c r="G5" s="12">
        <v>2013</v>
      </c>
      <c r="H5" s="13"/>
      <c r="I5" s="12">
        <v>2014</v>
      </c>
      <c r="J5" s="10"/>
      <c r="K5" s="12">
        <v>2015</v>
      </c>
    </row>
    <row r="6" spans="1:21" s="4" customFormat="1" ht="14.45" customHeight="1" x14ac:dyDescent="0.25">
      <c r="A6" s="2" t="s">
        <v>150</v>
      </c>
      <c r="B6" s="14">
        <v>20775751</v>
      </c>
      <c r="C6" s="2"/>
      <c r="D6" s="15"/>
      <c r="F6" s="16" t="s">
        <v>151</v>
      </c>
      <c r="G6" s="9"/>
      <c r="H6" s="9"/>
      <c r="I6" s="9"/>
      <c r="J6" s="10"/>
      <c r="K6" s="10"/>
    </row>
    <row r="7" spans="1:21" x14ac:dyDescent="0.25">
      <c r="A7" s="2" t="s">
        <v>152</v>
      </c>
      <c r="B7" s="14">
        <v>-2575449</v>
      </c>
      <c r="C7" s="2"/>
      <c r="D7" s="2"/>
      <c r="F7" s="18" t="s">
        <v>92</v>
      </c>
      <c r="G7" s="19">
        <f>+'Income Statement'!J46</f>
        <v>-30028910</v>
      </c>
      <c r="H7" s="20"/>
      <c r="I7" s="19">
        <f>+'Income Statement'!L50</f>
        <v>20485084</v>
      </c>
      <c r="J7" s="21"/>
      <c r="K7" s="23">
        <f>+'Income Statement'!N50</f>
        <v>8311390.4722000062</v>
      </c>
    </row>
    <row r="8" spans="1:21" x14ac:dyDescent="0.25">
      <c r="A8" s="2" t="s">
        <v>153</v>
      </c>
      <c r="B8" s="14">
        <v>213488</v>
      </c>
      <c r="C8" s="2"/>
      <c r="D8" s="2"/>
      <c r="F8" s="22" t="s">
        <v>154</v>
      </c>
      <c r="G8" s="20"/>
      <c r="H8" s="20"/>
      <c r="I8" s="20"/>
      <c r="J8" s="21"/>
      <c r="K8" s="23"/>
    </row>
    <row r="9" spans="1:21" x14ac:dyDescent="0.25">
      <c r="A9" s="2"/>
      <c r="B9" s="2"/>
      <c r="C9" s="2"/>
      <c r="D9" s="2"/>
      <c r="F9" s="18" t="s">
        <v>50</v>
      </c>
      <c r="G9" s="19">
        <f>-'Balance Sheet'!G30</f>
        <v>205000</v>
      </c>
      <c r="H9" s="20"/>
      <c r="I9" s="19"/>
      <c r="J9" s="21"/>
      <c r="K9" s="23"/>
    </row>
    <row r="10" spans="1:21" x14ac:dyDescent="0.25">
      <c r="F10" s="18"/>
      <c r="G10" s="3"/>
      <c r="H10" s="3"/>
      <c r="I10" s="3"/>
      <c r="J10" s="3"/>
      <c r="K10" s="24"/>
    </row>
    <row r="11" spans="1:21" x14ac:dyDescent="0.25">
      <c r="F11" s="22" t="s">
        <v>155</v>
      </c>
      <c r="G11" s="3"/>
      <c r="H11" s="3"/>
      <c r="I11" s="3"/>
      <c r="J11" s="3"/>
      <c r="K11" s="24"/>
    </row>
    <row r="12" spans="1:21" x14ac:dyDescent="0.25">
      <c r="F12" s="18" t="s">
        <v>204</v>
      </c>
      <c r="G12" s="3"/>
      <c r="H12" s="3"/>
      <c r="I12" s="3">
        <f>+'Income Statement'!I21-'Income Statement'!K21</f>
        <v>-414852</v>
      </c>
      <c r="J12" s="3"/>
      <c r="K12" s="24">
        <f>+'Income Statement'!M21-'Income Statement'!K21</f>
        <v>36053</v>
      </c>
    </row>
    <row r="13" spans="1:21" x14ac:dyDescent="0.25">
      <c r="F13" s="18" t="s">
        <v>183</v>
      </c>
      <c r="G13" s="19">
        <f>-'Balance Sheet'!H15</f>
        <v>-18935103.537500001</v>
      </c>
      <c r="H13" s="19"/>
      <c r="I13" s="19">
        <f>-'Balance Sheet'!J15+'Balance Sheet'!H15</f>
        <v>-35149296.462499999</v>
      </c>
      <c r="J13" s="21"/>
      <c r="K13" s="23">
        <v>7984424</v>
      </c>
    </row>
    <row r="14" spans="1:21" x14ac:dyDescent="0.25">
      <c r="F14" s="18" t="s">
        <v>156</v>
      </c>
      <c r="G14" s="19">
        <f>-'Balance Sheet'!G17</f>
        <v>-9259</v>
      </c>
      <c r="H14" s="19"/>
      <c r="I14" s="19">
        <f>+'Balance Sheet'!G17-'Balance Sheet'!I17</f>
        <v>-306</v>
      </c>
      <c r="J14" s="21"/>
      <c r="K14" s="19">
        <f>+'Balance Sheet'!I17-'Balance Sheet'!K17</f>
        <v>383</v>
      </c>
    </row>
    <row r="15" spans="1:21" x14ac:dyDescent="0.25">
      <c r="F15" s="18" t="s">
        <v>157</v>
      </c>
      <c r="G15" s="19">
        <f>+'Balance Sheet'!G18+'Balance Sheet'!G19</f>
        <v>19766507</v>
      </c>
      <c r="H15" s="19"/>
      <c r="I15" s="19">
        <f>-'Balance Sheet'!J19+'Balance Sheet'!H19</f>
        <v>-43449166.988800004</v>
      </c>
      <c r="J15" s="21"/>
      <c r="K15" s="19">
        <f>+'Balance Sheet'!J19-'Balance Sheet'!L19</f>
        <v>7783495.9888000041</v>
      </c>
    </row>
    <row r="16" spans="1:21" x14ac:dyDescent="0.25">
      <c r="F16" s="18" t="s">
        <v>158</v>
      </c>
      <c r="G16" s="19">
        <f>-'Balance Sheet'!H23</f>
        <v>-2079143</v>
      </c>
      <c r="H16" s="19"/>
      <c r="I16" s="19">
        <f>+'Balance Sheet'!H23-'Balance Sheet'!J23</f>
        <v>-751331</v>
      </c>
      <c r="J16" s="21"/>
      <c r="K16" s="19">
        <f>+'Balance Sheet'!J23-'Balance Sheet'!L23</f>
        <v>162752</v>
      </c>
    </row>
    <row r="17" spans="6:12" x14ac:dyDescent="0.25">
      <c r="F17" s="18" t="s">
        <v>159</v>
      </c>
      <c r="G17" s="19">
        <v>0</v>
      </c>
      <c r="H17" s="19"/>
      <c r="I17" s="19">
        <v>470311.408</v>
      </c>
      <c r="J17" s="21"/>
      <c r="K17" s="19">
        <f>+'Balance Sheet'!T9-'Balance Sheet'!R9</f>
        <v>98118</v>
      </c>
    </row>
    <row r="18" spans="6:12" x14ac:dyDescent="0.25">
      <c r="F18" s="18" t="s">
        <v>160</v>
      </c>
      <c r="G18" s="19">
        <f>+'Balance Sheet'!P14</f>
        <v>2378</v>
      </c>
      <c r="H18" s="19"/>
      <c r="I18" s="19">
        <f>+'Balance Sheet'!R14-'Balance Sheet'!P14</f>
        <v>19859</v>
      </c>
      <c r="J18" s="21"/>
      <c r="K18" s="19">
        <f>+'Balance Sheet'!T14-'Balance Sheet'!R14</f>
        <v>-5559</v>
      </c>
    </row>
    <row r="19" spans="6:12" x14ac:dyDescent="0.25">
      <c r="F19" s="18" t="s">
        <v>161</v>
      </c>
      <c r="G19" s="19">
        <f>+'Balance Sheet'!P17</f>
        <v>2378</v>
      </c>
      <c r="H19" s="19"/>
      <c r="I19" s="19">
        <f>+'Balance Sheet'!R17-'Balance Sheet'!P17</f>
        <v>19859</v>
      </c>
      <c r="J19" s="21"/>
      <c r="K19" s="19">
        <f>+'Balance Sheet'!T17-'Balance Sheet'!R17</f>
        <v>-5559</v>
      </c>
    </row>
    <row r="20" spans="6:12" x14ac:dyDescent="0.25">
      <c r="F20" s="18" t="s">
        <v>162</v>
      </c>
      <c r="G20" s="19">
        <f>+'Balance Sheet'!P22</f>
        <v>11060</v>
      </c>
      <c r="H20" s="19"/>
      <c r="I20" s="19">
        <f>+'Balance Sheet'!R22-'Balance Sheet'!P22</f>
        <v>3388266</v>
      </c>
      <c r="J20" s="21"/>
      <c r="K20" s="19">
        <f>+'Balance Sheet'!T22-'Balance Sheet'!R22</f>
        <v>2757606</v>
      </c>
    </row>
    <row r="21" spans="6:12" x14ac:dyDescent="0.25">
      <c r="F21" s="18" t="s">
        <v>163</v>
      </c>
      <c r="G21" s="19">
        <v>0</v>
      </c>
      <c r="H21" s="19"/>
      <c r="I21" s="19">
        <f>+'Balance Sheet'!R24</f>
        <v>677640</v>
      </c>
      <c r="J21" s="21"/>
      <c r="K21" s="19">
        <f>-'Balance Sheet'!R24+'Balance Sheet'!T24</f>
        <v>43840</v>
      </c>
    </row>
    <row r="22" spans="6:12" x14ac:dyDescent="0.25">
      <c r="F22" s="18" t="s">
        <v>164</v>
      </c>
      <c r="G22" s="19">
        <f>+'Balance Sheet'!P27</f>
        <v>6000000</v>
      </c>
      <c r="H22" s="19"/>
      <c r="I22" s="19">
        <f>+'Balance Sheet'!R27-'Balance Sheet'!P27</f>
        <v>9754000</v>
      </c>
      <c r="J22" s="21"/>
      <c r="K22" s="19">
        <f>+'Balance Sheet'!T27-'Balance Sheet'!R27</f>
        <v>-295000</v>
      </c>
      <c r="L22" s="17">
        <f>+I22*2</f>
        <v>19508000</v>
      </c>
    </row>
    <row r="23" spans="6:12" x14ac:dyDescent="0.25">
      <c r="F23" s="18"/>
      <c r="G23" s="21"/>
      <c r="H23" s="20"/>
      <c r="I23" s="19"/>
      <c r="J23" s="21"/>
      <c r="K23" s="23"/>
    </row>
    <row r="24" spans="6:12" x14ac:dyDescent="0.25">
      <c r="F24" s="22" t="s">
        <v>165</v>
      </c>
      <c r="G24" s="25">
        <f>SUM(G7:G22)</f>
        <v>-25065092.537500001</v>
      </c>
      <c r="H24" s="5"/>
      <c r="I24" s="25">
        <f>SUM(I7:I22)</f>
        <v>-44949933.043300003</v>
      </c>
      <c r="J24" s="3"/>
      <c r="K24" s="26">
        <f>SUM(K7:K23)</f>
        <v>26871944.46100001</v>
      </c>
    </row>
    <row r="25" spans="6:12" x14ac:dyDescent="0.25">
      <c r="F25" s="9" t="s">
        <v>166</v>
      </c>
      <c r="G25" s="27">
        <f>-'Income Statement'!J49</f>
        <v>-3492500</v>
      </c>
      <c r="H25" s="5"/>
      <c r="I25" s="28">
        <f>-'Income Statement'!L49</f>
        <v>-16645440</v>
      </c>
      <c r="J25" s="3"/>
      <c r="K25" s="24">
        <f>-'Income Statement'!N49</f>
        <v>-8527540</v>
      </c>
    </row>
    <row r="26" spans="6:12" ht="15.75" thickBot="1" x14ac:dyDescent="0.3">
      <c r="F26" s="16" t="s">
        <v>167</v>
      </c>
      <c r="G26" s="29">
        <f>SUM(G24:G25)</f>
        <v>-28557592.537500001</v>
      </c>
      <c r="H26" s="29"/>
      <c r="I26" s="29">
        <f>SUM(I24:I25)</f>
        <v>-61595373.043300003</v>
      </c>
      <c r="J26" s="30"/>
      <c r="K26" s="31">
        <f>SUM(K24:K25)</f>
        <v>18344404.46100001</v>
      </c>
    </row>
    <row r="27" spans="6:12" ht="15.75" thickTop="1" x14ac:dyDescent="0.25">
      <c r="F27" s="18"/>
      <c r="G27" s="32"/>
      <c r="H27" s="33"/>
      <c r="I27" s="32"/>
      <c r="J27" s="34"/>
      <c r="K27" s="3">
        <f>+K26-B6</f>
        <v>-2431346.5389999896</v>
      </c>
    </row>
    <row r="28" spans="6:12" x14ac:dyDescent="0.25">
      <c r="F28" s="18" t="s">
        <v>168</v>
      </c>
      <c r="G28" s="32"/>
      <c r="H28" s="33"/>
      <c r="I28" s="32"/>
      <c r="J28" s="34"/>
      <c r="K28" s="34"/>
    </row>
    <row r="29" spans="6:12" x14ac:dyDescent="0.25">
      <c r="F29" s="18" t="s">
        <v>169</v>
      </c>
      <c r="G29" s="35">
        <v>-67301</v>
      </c>
      <c r="H29" s="5"/>
      <c r="I29" s="35">
        <v>67300.737499999988</v>
      </c>
      <c r="J29" s="3"/>
      <c r="K29" s="3"/>
    </row>
    <row r="30" spans="6:12" x14ac:dyDescent="0.25">
      <c r="F30" s="18" t="s">
        <v>170</v>
      </c>
      <c r="G30" s="35">
        <v>-146250</v>
      </c>
      <c r="H30" s="5"/>
      <c r="I30" s="35">
        <v>15210</v>
      </c>
      <c r="J30" s="3"/>
      <c r="K30" s="3"/>
    </row>
    <row r="31" spans="6:12" x14ac:dyDescent="0.25">
      <c r="F31" s="18" t="s">
        <v>171</v>
      </c>
      <c r="G31" s="35">
        <v>-779882</v>
      </c>
      <c r="H31" s="5"/>
      <c r="I31" s="35">
        <v>81107.7696</v>
      </c>
      <c r="J31" s="3"/>
      <c r="K31" s="3">
        <v>-135000</v>
      </c>
    </row>
    <row r="32" spans="6:12" x14ac:dyDescent="0.25">
      <c r="F32" s="36" t="s">
        <v>172</v>
      </c>
      <c r="G32" s="3">
        <v>-541521</v>
      </c>
      <c r="H32" s="3"/>
      <c r="I32" s="3">
        <v>-2739067.4106000001</v>
      </c>
      <c r="J32" s="3"/>
      <c r="K32" s="3"/>
    </row>
    <row r="33" spans="6:13" x14ac:dyDescent="0.25">
      <c r="F33" s="37" t="s">
        <v>173</v>
      </c>
      <c r="G33" s="5">
        <v>-715864</v>
      </c>
      <c r="H33" s="5"/>
      <c r="I33" s="5"/>
      <c r="J33" s="3"/>
      <c r="K33" s="3"/>
    </row>
    <row r="34" spans="6:13" x14ac:dyDescent="0.25">
      <c r="F34" s="18" t="s">
        <v>174</v>
      </c>
      <c r="G34" s="35">
        <v>0</v>
      </c>
      <c r="H34" s="5"/>
      <c r="I34" s="35"/>
      <c r="J34" s="3"/>
      <c r="K34" s="3"/>
    </row>
    <row r="35" spans="6:13" ht="15.75" thickBot="1" x14ac:dyDescent="0.3">
      <c r="F35" s="16" t="s">
        <v>175</v>
      </c>
      <c r="G35" s="38">
        <f>SUM(G29:G34)</f>
        <v>-2250818</v>
      </c>
      <c r="H35" s="38"/>
      <c r="I35" s="41">
        <f>SUM(I29:I34)</f>
        <v>-2575448.9035</v>
      </c>
      <c r="J35" s="38"/>
      <c r="K35" s="41">
        <f>SUM(K29:K34)</f>
        <v>-135000</v>
      </c>
    </row>
    <row r="36" spans="6:13" ht="15.75" thickTop="1" x14ac:dyDescent="0.25">
      <c r="F36" s="18"/>
      <c r="G36" s="35"/>
      <c r="H36" s="33"/>
      <c r="I36" s="32"/>
      <c r="J36" s="34"/>
      <c r="K36" s="34"/>
    </row>
    <row r="37" spans="6:13" x14ac:dyDescent="0.25">
      <c r="F37" s="39" t="s">
        <v>176</v>
      </c>
      <c r="G37" s="32"/>
      <c r="H37" s="33"/>
      <c r="I37" s="32"/>
      <c r="J37" s="34"/>
      <c r="K37" s="34"/>
    </row>
    <row r="38" spans="6:13" x14ac:dyDescent="0.25">
      <c r="F38" s="36" t="s">
        <v>177</v>
      </c>
      <c r="G38" s="3">
        <f>10131250+'[1]balance sheet'!$G$34+2773900</f>
        <v>22183900</v>
      </c>
      <c r="H38" s="3"/>
      <c r="I38" s="3">
        <v>0</v>
      </c>
      <c r="J38" s="3"/>
      <c r="K38" s="3">
        <v>0</v>
      </c>
    </row>
    <row r="39" spans="6:13" x14ac:dyDescent="0.25">
      <c r="F39" s="9" t="s">
        <v>178</v>
      </c>
      <c r="G39" s="5">
        <v>12500000</v>
      </c>
      <c r="H39" s="5"/>
      <c r="I39" s="5">
        <f>-'Balance Sheet'!P30+'Balance Sheet'!R30</f>
        <v>39731360</v>
      </c>
      <c r="J39" s="3"/>
      <c r="K39" s="3">
        <v>-20427263</v>
      </c>
    </row>
    <row r="40" spans="6:13" ht="15.75" thickBot="1" x14ac:dyDescent="0.3">
      <c r="F40" s="16" t="s">
        <v>179</v>
      </c>
      <c r="G40" s="30">
        <f>SUM(G38:G39)</f>
        <v>34683900</v>
      </c>
      <c r="H40" s="30">
        <f>SUM(H38:H39)</f>
        <v>0</v>
      </c>
      <c r="I40" s="30">
        <f>SUM(I38:I39)</f>
        <v>39731360</v>
      </c>
      <c r="J40" s="30">
        <f>SUM(J38:J39)</f>
        <v>0</v>
      </c>
      <c r="K40" s="30">
        <f>SUM(K38:K39)</f>
        <v>-20427263</v>
      </c>
      <c r="L40" s="67">
        <f>+B8</f>
        <v>213488</v>
      </c>
      <c r="M40" s="6">
        <f>20554149-20427263</f>
        <v>126886</v>
      </c>
    </row>
    <row r="41" spans="6:13" ht="15.75" thickTop="1" x14ac:dyDescent="0.25">
      <c r="F41" s="40"/>
      <c r="G41" s="34"/>
      <c r="H41" s="34"/>
      <c r="I41" s="34"/>
      <c r="J41" s="34"/>
      <c r="K41" s="34"/>
    </row>
    <row r="42" spans="6:13" x14ac:dyDescent="0.25">
      <c r="F42" s="40" t="s">
        <v>180</v>
      </c>
      <c r="G42" s="3">
        <f>G40+G35+G26</f>
        <v>3875489.4624999985</v>
      </c>
      <c r="H42" s="3"/>
      <c r="I42" s="3">
        <f>I40+I35+I26</f>
        <v>-24439461.946800001</v>
      </c>
      <c r="J42" s="3"/>
      <c r="K42" s="3">
        <f>K40+K35+K26</f>
        <v>-2217858.5389999896</v>
      </c>
    </row>
    <row r="43" spans="6:13" x14ac:dyDescent="0.25">
      <c r="F43" s="10"/>
      <c r="G43" s="3"/>
      <c r="H43" s="3"/>
      <c r="I43" s="3"/>
      <c r="J43" s="3"/>
      <c r="K43" s="3"/>
    </row>
    <row r="44" spans="6:13" x14ac:dyDescent="0.25">
      <c r="F44" s="40" t="s">
        <v>181</v>
      </c>
      <c r="G44" s="3">
        <v>0</v>
      </c>
      <c r="H44" s="3"/>
      <c r="I44" s="3">
        <v>0</v>
      </c>
      <c r="J44" s="3"/>
      <c r="K44" s="3">
        <v>4339579.4400000004</v>
      </c>
    </row>
    <row r="45" spans="6:13" x14ac:dyDescent="0.25">
      <c r="F45" s="40"/>
      <c r="G45" s="3"/>
      <c r="H45" s="3"/>
      <c r="I45" s="3"/>
      <c r="J45" s="3"/>
      <c r="K45" s="3"/>
    </row>
    <row r="46" spans="6:13" ht="15.75" thickBot="1" x14ac:dyDescent="0.3">
      <c r="F46" s="40" t="s">
        <v>182</v>
      </c>
      <c r="G46" s="30">
        <v>4056327.4124999996</v>
      </c>
      <c r="H46" s="30"/>
      <c r="I46" s="30">
        <v>4339579.4400000004</v>
      </c>
      <c r="J46" s="30"/>
      <c r="K46" s="30">
        <f>SUM(K44:K45)</f>
        <v>4339579.4400000004</v>
      </c>
    </row>
    <row r="47" spans="6:13" ht="15.75" thickTop="1" x14ac:dyDescent="0.25"/>
  </sheetData>
  <mergeCells count="2">
    <mergeCell ref="F2:K2"/>
    <mergeCell ref="F3:K3"/>
  </mergeCells>
  <pageMargins left="0.7" right="0.7" top="0.75" bottom="0.75" header="0.3" footer="0.3"/>
  <pageSetup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topLeftCell="E1" zoomScale="60" zoomScaleNormal="70" workbookViewId="0">
      <selection activeCell="H27" sqref="H27"/>
    </sheetView>
  </sheetViews>
  <sheetFormatPr defaultRowHeight="15" x14ac:dyDescent="0.25"/>
  <cols>
    <col min="1" max="4" width="0" style="42" hidden="1" customWidth="1"/>
    <col min="5" max="5" width="24.28515625" style="42" customWidth="1"/>
    <col min="6" max="6" width="9.140625" style="165"/>
    <col min="7" max="7" width="44" style="42" bestFit="1" customWidth="1"/>
    <col min="8" max="8" width="34.85546875" style="42" customWidth="1"/>
    <col min="9" max="9" width="3" style="42" customWidth="1"/>
    <col min="10" max="10" width="16.5703125" style="42" customWidth="1"/>
    <col min="11" max="11" width="17.5703125" style="42" bestFit="1" customWidth="1"/>
    <col min="12" max="12" width="16.5703125" style="42" bestFit="1" customWidth="1"/>
    <col min="13" max="16384" width="9.140625" style="42"/>
  </cols>
  <sheetData>
    <row r="1" spans="1:15" x14ac:dyDescent="0.25">
      <c r="A1" s="42" t="s">
        <v>184</v>
      </c>
    </row>
    <row r="4" spans="1:15" ht="16.5" thickBot="1" x14ac:dyDescent="0.3">
      <c r="J4" s="43">
        <v>2013</v>
      </c>
      <c r="K4" s="43">
        <v>2014</v>
      </c>
      <c r="L4" s="43">
        <v>2015</v>
      </c>
      <c r="M4" s="43"/>
    </row>
    <row r="5" spans="1:15" ht="32.25" thickBot="1" x14ac:dyDescent="0.3">
      <c r="E5" s="44" t="s">
        <v>185</v>
      </c>
      <c r="F5" s="45"/>
      <c r="G5" s="46" t="s">
        <v>186</v>
      </c>
      <c r="H5" s="47" t="s">
        <v>187</v>
      </c>
      <c r="J5" s="48">
        <f>+'Balance Sheet'!H24</f>
        <v>48782141.537500001</v>
      </c>
      <c r="K5" s="48">
        <f>+'Balance Sheet'!J24</f>
        <v>129628482.9888</v>
      </c>
      <c r="L5" s="48">
        <f>+'Balance Sheet'!L24</f>
        <v>113840024</v>
      </c>
      <c r="M5" s="43"/>
      <c r="N5" s="70" t="s">
        <v>231</v>
      </c>
    </row>
    <row r="6" spans="1:15" ht="15.75" x14ac:dyDescent="0.25">
      <c r="E6" s="219" t="s">
        <v>188</v>
      </c>
      <c r="F6" s="49" t="s">
        <v>189</v>
      </c>
      <c r="G6" s="50" t="s">
        <v>190</v>
      </c>
      <c r="H6" s="51" t="s">
        <v>191</v>
      </c>
      <c r="J6" s="52">
        <f>+'Balance Sheet'!P32</f>
        <v>27487245</v>
      </c>
      <c r="K6" s="52">
        <f>+'Balance Sheet'!R32</f>
        <v>92330490</v>
      </c>
      <c r="L6" s="52">
        <f>+'Balance Sheet'!T32</f>
        <v>83469966</v>
      </c>
      <c r="M6" s="43"/>
      <c r="N6" s="70" t="s">
        <v>235</v>
      </c>
      <c r="O6" s="70"/>
    </row>
    <row r="7" spans="1:15" ht="15.75" x14ac:dyDescent="0.25">
      <c r="E7" s="219"/>
      <c r="F7" s="53">
        <v>2013</v>
      </c>
      <c r="G7" s="54">
        <f>+J5/J6</f>
        <v>1.7747192029430379</v>
      </c>
      <c r="I7" s="166"/>
      <c r="N7" s="70" t="s">
        <v>234</v>
      </c>
      <c r="O7" s="70"/>
    </row>
    <row r="8" spans="1:15" ht="15.75" x14ac:dyDescent="0.25">
      <c r="E8" s="219"/>
      <c r="F8" s="53">
        <v>2014</v>
      </c>
      <c r="G8" s="54">
        <f>+K5/K6</f>
        <v>1.403961822240952</v>
      </c>
      <c r="I8" s="166"/>
      <c r="N8" s="70" t="s">
        <v>232</v>
      </c>
      <c r="O8" s="70"/>
    </row>
    <row r="9" spans="1:15" ht="15.75" x14ac:dyDescent="0.25">
      <c r="E9" s="219"/>
      <c r="F9" s="53">
        <v>2015</v>
      </c>
      <c r="G9" s="54">
        <f>+L5/L6</f>
        <v>1.3638441400587129</v>
      </c>
      <c r="N9" s="70" t="s">
        <v>233</v>
      </c>
      <c r="O9" s="70"/>
    </row>
    <row r="10" spans="1:15" ht="15.75" x14ac:dyDescent="0.25">
      <c r="E10" s="219"/>
      <c r="F10" s="55"/>
      <c r="G10" s="54"/>
    </row>
    <row r="11" spans="1:15" ht="32.25" thickBot="1" x14ac:dyDescent="0.3">
      <c r="E11" s="219"/>
      <c r="F11" s="57"/>
      <c r="G11" s="50" t="s">
        <v>193</v>
      </c>
      <c r="H11" s="56" t="s">
        <v>192</v>
      </c>
      <c r="J11" s="48">
        <f>+'Balance Sheet'!H11+'Balance Sheet'!G14</f>
        <v>28505757.387500003</v>
      </c>
      <c r="K11" s="48">
        <f>+'Balance Sheet'!J11+'Balance Sheet'!I14</f>
        <v>64560767</v>
      </c>
      <c r="L11" s="48">
        <f>+'Balance Sheet'!L11+'Balance Sheet'!K14</f>
        <v>57473417</v>
      </c>
      <c r="N11" s="70" t="s">
        <v>236</v>
      </c>
    </row>
    <row r="12" spans="1:15" ht="15.75" x14ac:dyDescent="0.25">
      <c r="E12" s="219"/>
      <c r="F12" s="53">
        <v>2013</v>
      </c>
      <c r="G12" s="58">
        <f>+J11/J12</f>
        <v>1.0370540004100084</v>
      </c>
      <c r="H12" s="51" t="s">
        <v>191</v>
      </c>
      <c r="J12" s="52">
        <f>+J6</f>
        <v>27487245</v>
      </c>
      <c r="K12" s="52">
        <f>+K6</f>
        <v>92330490</v>
      </c>
      <c r="L12" s="52">
        <f>+L6</f>
        <v>83469966</v>
      </c>
      <c r="N12" s="70" t="s">
        <v>264</v>
      </c>
    </row>
    <row r="13" spans="1:15" ht="15.75" x14ac:dyDescent="0.25">
      <c r="E13" s="219"/>
      <c r="F13" s="53">
        <v>2014</v>
      </c>
      <c r="G13" s="58">
        <f>+K11/K12</f>
        <v>0.6992356154505408</v>
      </c>
      <c r="N13" s="70" t="s">
        <v>237</v>
      </c>
    </row>
    <row r="14" spans="1:15" ht="15.75" x14ac:dyDescent="0.25">
      <c r="E14" s="219"/>
      <c r="F14" s="53">
        <v>2015</v>
      </c>
      <c r="G14" s="58">
        <f>+L11/L12</f>
        <v>0.68855205955157572</v>
      </c>
      <c r="N14" s="70" t="s">
        <v>238</v>
      </c>
    </row>
    <row r="15" spans="1:15" ht="15.75" x14ac:dyDescent="0.25">
      <c r="E15" s="219"/>
      <c r="F15" s="55"/>
      <c r="G15" s="58"/>
      <c r="N15" s="70" t="s">
        <v>265</v>
      </c>
    </row>
    <row r="16" spans="1:15" ht="15.75" x14ac:dyDescent="0.25">
      <c r="E16" s="219"/>
      <c r="F16" s="55"/>
      <c r="G16" s="58"/>
      <c r="N16" s="70" t="s">
        <v>239</v>
      </c>
    </row>
    <row r="17" spans="5:14" ht="15.75" x14ac:dyDescent="0.25">
      <c r="E17" s="219"/>
      <c r="F17" s="167"/>
      <c r="G17" s="50" t="s">
        <v>207</v>
      </c>
    </row>
    <row r="18" spans="5:14" ht="16.5" thickBot="1" x14ac:dyDescent="0.3">
      <c r="E18" s="219"/>
      <c r="F18" s="53">
        <v>2013</v>
      </c>
      <c r="G18" s="58">
        <f>+J18/J19</f>
        <v>8.9483986107036255</v>
      </c>
      <c r="H18" s="56" t="s">
        <v>208</v>
      </c>
      <c r="J18" s="48">
        <f>+'Income Statement'!J12</f>
        <v>176961437</v>
      </c>
      <c r="K18" s="48">
        <f>+'Income Statement'!L12</f>
        <v>161029981</v>
      </c>
      <c r="L18" s="48">
        <f>+'Income Statement'!N12</f>
        <v>179103247.52779999</v>
      </c>
      <c r="N18" s="42" t="s">
        <v>218</v>
      </c>
    </row>
    <row r="19" spans="5:14" ht="15.75" x14ac:dyDescent="0.25">
      <c r="E19" s="219"/>
      <c r="F19" s="53">
        <v>2014</v>
      </c>
      <c r="G19" s="58">
        <f>+K18/K19</f>
        <v>2.5469379465934066</v>
      </c>
      <c r="H19" s="51" t="s">
        <v>209</v>
      </c>
      <c r="J19" s="52">
        <f>+'Balance Sheet'!H19</f>
        <v>19775766</v>
      </c>
      <c r="K19" s="52">
        <f>+'Balance Sheet'!J19</f>
        <v>63224932.988800004</v>
      </c>
      <c r="L19" s="52">
        <f>+'Balance Sheet'!L19</f>
        <v>55441437</v>
      </c>
      <c r="N19" s="42" t="s">
        <v>240</v>
      </c>
    </row>
    <row r="20" spans="5:14" ht="15.75" x14ac:dyDescent="0.25">
      <c r="E20" s="219"/>
      <c r="F20" s="53">
        <v>2015</v>
      </c>
      <c r="G20" s="58">
        <f>+L18/L19</f>
        <v>3.2304943237275756</v>
      </c>
      <c r="N20" s="42" t="s">
        <v>241</v>
      </c>
    </row>
    <row r="21" spans="5:14" ht="16.5" thickBot="1" x14ac:dyDescent="0.3">
      <c r="E21" s="220"/>
      <c r="F21" s="59"/>
      <c r="G21" s="60"/>
      <c r="N21" s="42" t="s">
        <v>230</v>
      </c>
    </row>
    <row r="22" spans="5:14" ht="15.75" x14ac:dyDescent="0.25">
      <c r="E22" s="221" t="s">
        <v>194</v>
      </c>
      <c r="F22" s="61"/>
      <c r="G22" s="62" t="s">
        <v>195</v>
      </c>
    </row>
    <row r="23" spans="5:14" ht="16.5" thickBot="1" x14ac:dyDescent="0.3">
      <c r="E23" s="219"/>
      <c r="F23" s="53">
        <v>2013</v>
      </c>
      <c r="G23" s="54">
        <f>-J23/J24</f>
        <v>1.0463977942314699</v>
      </c>
      <c r="H23" s="56" t="s">
        <v>210</v>
      </c>
      <c r="J23" s="48">
        <f>+'Statement of Cash Flows'!G23</f>
        <v>-28762592.537500001</v>
      </c>
      <c r="K23" s="48">
        <f>+'Statement of Cash Flows'!I23</f>
        <v>-35163850.451300003</v>
      </c>
      <c r="L23" s="48">
        <f>+'Statement of Cash Flows'!K23</f>
        <v>20775751.46100001</v>
      </c>
      <c r="N23" s="42" t="s">
        <v>219</v>
      </c>
    </row>
    <row r="24" spans="5:14" ht="15.75" x14ac:dyDescent="0.25">
      <c r="E24" s="219"/>
      <c r="F24" s="53">
        <v>2014</v>
      </c>
      <c r="G24" s="54">
        <f>-K23/K24</f>
        <v>0.38084765337322485</v>
      </c>
      <c r="H24" s="51" t="s">
        <v>191</v>
      </c>
      <c r="J24" s="52">
        <f>+'Balance Sheet'!P32</f>
        <v>27487245</v>
      </c>
      <c r="K24" s="52">
        <f>+'Balance Sheet'!R32</f>
        <v>92330490</v>
      </c>
      <c r="L24" s="52">
        <f>+'Balance Sheet'!T32</f>
        <v>83469966</v>
      </c>
      <c r="N24" s="42" t="s">
        <v>220</v>
      </c>
    </row>
    <row r="25" spans="5:14" ht="15.75" x14ac:dyDescent="0.25">
      <c r="E25" s="219"/>
      <c r="F25" s="53">
        <v>2015</v>
      </c>
      <c r="G25" s="54">
        <f>+L23/L24</f>
        <v>0.24890092157219773</v>
      </c>
      <c r="N25" s="42" t="s">
        <v>221</v>
      </c>
    </row>
    <row r="26" spans="5:14" ht="16.5" thickBot="1" x14ac:dyDescent="0.3">
      <c r="E26" s="219"/>
      <c r="F26" s="55"/>
      <c r="G26" s="50" t="s">
        <v>196</v>
      </c>
      <c r="H26" s="56" t="s">
        <v>211</v>
      </c>
      <c r="J26" s="48">
        <f>+'Balance Sheet'!P35+'Balance Sheet'!P32</f>
        <v>27487245</v>
      </c>
      <c r="K26" s="48">
        <f>+'Balance Sheet'!R32+'Balance Sheet'!R34</f>
        <v>105092850</v>
      </c>
      <c r="L26" s="48">
        <f>+'Balance Sheet'!T32+'Balance Sheet'!T34</f>
        <v>95510846</v>
      </c>
      <c r="N26" s="42" t="s">
        <v>222</v>
      </c>
    </row>
    <row r="27" spans="5:14" ht="15.75" x14ac:dyDescent="0.25">
      <c r="E27" s="219"/>
      <c r="F27" s="53">
        <v>2013</v>
      </c>
      <c r="G27" s="68">
        <f>+J26/J27</f>
        <v>0.54851516985356852</v>
      </c>
      <c r="H27" s="51" t="s">
        <v>212</v>
      </c>
      <c r="J27" s="52">
        <f>+'Balance Sheet'!H37</f>
        <v>50112096.274999999</v>
      </c>
      <c r="K27" s="52">
        <f>+'Balance Sheet'!J37</f>
        <v>132952784.61920001</v>
      </c>
      <c r="L27" s="52">
        <f>+'Balance Sheet'!L37</f>
        <v>116682170.6304</v>
      </c>
    </row>
    <row r="28" spans="5:14" ht="15.75" x14ac:dyDescent="0.25">
      <c r="E28" s="219"/>
      <c r="F28" s="53">
        <v>2014</v>
      </c>
      <c r="G28" s="68">
        <f>+K26/K27</f>
        <v>0.79045241738263905</v>
      </c>
      <c r="N28" s="42" t="s">
        <v>245</v>
      </c>
    </row>
    <row r="29" spans="5:14" ht="15.75" x14ac:dyDescent="0.25">
      <c r="E29" s="219"/>
      <c r="F29" s="53">
        <v>2015</v>
      </c>
      <c r="G29" s="68">
        <f>+L26/L27</f>
        <v>0.81855561551505718</v>
      </c>
      <c r="N29" s="42" t="s">
        <v>246</v>
      </c>
    </row>
    <row r="30" spans="5:14" ht="16.5" thickBot="1" x14ac:dyDescent="0.3">
      <c r="E30" s="219"/>
      <c r="F30" s="55"/>
      <c r="G30" s="50" t="s">
        <v>197</v>
      </c>
      <c r="H30" s="56" t="s">
        <v>214</v>
      </c>
      <c r="J30" s="48">
        <f>+'Income Statement'!J37</f>
        <v>34136031</v>
      </c>
      <c r="K30" s="48">
        <f>+'Income Statement'!L37</f>
        <v>39782715</v>
      </c>
      <c r="L30" s="48">
        <f>+'Income Statement'!N37</f>
        <v>18960797.472200006</v>
      </c>
      <c r="N30" s="42" t="s">
        <v>247</v>
      </c>
    </row>
    <row r="31" spans="5:14" ht="15.75" x14ac:dyDescent="0.25">
      <c r="E31" s="219"/>
      <c r="F31" s="53">
        <v>2013</v>
      </c>
      <c r="G31" s="68">
        <f>+J30/J31</f>
        <v>31.210085485714284</v>
      </c>
      <c r="H31" s="51" t="s">
        <v>215</v>
      </c>
      <c r="J31" s="52">
        <f>+'Income Statement'!J44</f>
        <v>1093750</v>
      </c>
      <c r="K31" s="52">
        <f>+'Income Statement'!L44</f>
        <v>3373056</v>
      </c>
      <c r="L31" s="52">
        <f>+'Income Statement'!N44</f>
        <v>2942147</v>
      </c>
      <c r="N31" s="42" t="s">
        <v>248</v>
      </c>
    </row>
    <row r="32" spans="5:14" ht="15.75" x14ac:dyDescent="0.25">
      <c r="E32" s="219"/>
      <c r="F32" s="53">
        <v>2014</v>
      </c>
      <c r="G32" s="68">
        <f>+K30/K31</f>
        <v>11.794264607525045</v>
      </c>
      <c r="J32" s="69"/>
      <c r="K32" s="69"/>
      <c r="L32" s="69"/>
      <c r="N32" s="42" t="s">
        <v>242</v>
      </c>
    </row>
    <row r="33" spans="5:14" ht="15.75" x14ac:dyDescent="0.25">
      <c r="E33" s="219"/>
      <c r="F33" s="53">
        <v>2015</v>
      </c>
      <c r="G33" s="68">
        <f>+L30/L31</f>
        <v>6.4445445697308825</v>
      </c>
      <c r="J33" s="69"/>
      <c r="K33" s="69"/>
      <c r="L33" s="69"/>
      <c r="N33" s="42" t="s">
        <v>243</v>
      </c>
    </row>
    <row r="34" spans="5:14" ht="16.5" thickBot="1" x14ac:dyDescent="0.3">
      <c r="E34" s="220"/>
      <c r="F34" s="63"/>
      <c r="G34" s="60"/>
      <c r="N34" s="42" t="s">
        <v>244</v>
      </c>
    </row>
    <row r="35" spans="5:14" ht="16.5" thickBot="1" x14ac:dyDescent="0.3">
      <c r="E35" s="222" t="s">
        <v>198</v>
      </c>
      <c r="F35" s="61"/>
      <c r="G35" s="62" t="s">
        <v>199</v>
      </c>
      <c r="H35" s="56" t="s">
        <v>216</v>
      </c>
      <c r="J35" s="48">
        <f>+'Income Statement'!J50</f>
        <v>-33521410</v>
      </c>
      <c r="K35" s="48">
        <f>+'Income Statement'!L50</f>
        <v>20485084</v>
      </c>
      <c r="L35" s="48">
        <f>+'Income Statement'!N50</f>
        <v>8311390.4722000062</v>
      </c>
    </row>
    <row r="36" spans="5:14" ht="15.75" x14ac:dyDescent="0.25">
      <c r="E36" s="223"/>
      <c r="F36" s="53">
        <v>2013</v>
      </c>
      <c r="G36" s="64">
        <f>+J35/J36</f>
        <v>-0.11096344597104753</v>
      </c>
      <c r="H36" s="51" t="s">
        <v>79</v>
      </c>
      <c r="J36" s="69">
        <f>+'Income Statement'!J8</f>
        <v>302094169</v>
      </c>
      <c r="K36" s="69">
        <f>+'Income Statement'!L8</f>
        <v>259406820</v>
      </c>
      <c r="L36" s="69">
        <f>+'Income Statement'!N8</f>
        <v>265766110</v>
      </c>
      <c r="N36" s="42" t="s">
        <v>223</v>
      </c>
    </row>
    <row r="37" spans="5:14" ht="15.75" x14ac:dyDescent="0.25">
      <c r="E37" s="223"/>
      <c r="F37" s="53">
        <v>2014</v>
      </c>
      <c r="G37" s="64">
        <f>+K35/K36</f>
        <v>7.8968949235798808E-2</v>
      </c>
      <c r="J37" s="69"/>
      <c r="K37" s="69"/>
      <c r="L37" s="69"/>
      <c r="N37" s="42" t="s">
        <v>249</v>
      </c>
    </row>
    <row r="38" spans="5:14" ht="15.75" x14ac:dyDescent="0.25">
      <c r="E38" s="223"/>
      <c r="F38" s="53">
        <v>2015</v>
      </c>
      <c r="G38" s="64">
        <f>+L35/L36</f>
        <v>3.127332703255508E-2</v>
      </c>
      <c r="N38" s="42" t="s">
        <v>251</v>
      </c>
    </row>
    <row r="39" spans="5:14" ht="15.75" x14ac:dyDescent="0.25">
      <c r="E39" s="223"/>
      <c r="F39" s="55"/>
      <c r="G39" s="64"/>
      <c r="N39" s="42" t="s">
        <v>252</v>
      </c>
    </row>
    <row r="40" spans="5:14" ht="16.5" thickBot="1" x14ac:dyDescent="0.3">
      <c r="E40" s="223"/>
      <c r="F40" s="55"/>
      <c r="G40" s="50" t="s">
        <v>200</v>
      </c>
      <c r="H40" s="56" t="s">
        <v>216</v>
      </c>
      <c r="J40" s="48">
        <f>+'Income Statement'!J50</f>
        <v>-33521410</v>
      </c>
      <c r="K40" s="48">
        <f>+'Income Statement'!L50</f>
        <v>20485084</v>
      </c>
      <c r="L40" s="48">
        <f>+'Income Statement'!N50</f>
        <v>8311390.4722000062</v>
      </c>
      <c r="N40" s="42" t="s">
        <v>253</v>
      </c>
    </row>
    <row r="41" spans="5:14" ht="15.75" x14ac:dyDescent="0.25">
      <c r="E41" s="223"/>
      <c r="F41" s="53">
        <v>2013</v>
      </c>
      <c r="G41" s="64">
        <f>+J40/J41</f>
        <v>-0.66892851211102122</v>
      </c>
      <c r="H41" s="51" t="s">
        <v>212</v>
      </c>
      <c r="J41" s="52">
        <f>+'Balance Sheet'!H37</f>
        <v>50112096.274999999</v>
      </c>
      <c r="K41" s="52">
        <f>+'Balance Sheet'!J37</f>
        <v>132952784.61920001</v>
      </c>
      <c r="L41" s="52">
        <f>+'Balance Sheet'!L37</f>
        <v>116682170.6304</v>
      </c>
    </row>
    <row r="42" spans="5:14" ht="15.75" x14ac:dyDescent="0.25">
      <c r="E42" s="223"/>
      <c r="F42" s="53">
        <v>2014</v>
      </c>
      <c r="G42" s="64">
        <f>+K40/K41</f>
        <v>0.15407788606062564</v>
      </c>
      <c r="J42" s="52"/>
      <c r="K42" s="52"/>
      <c r="L42" s="52"/>
      <c r="N42" s="42" t="s">
        <v>224</v>
      </c>
    </row>
    <row r="43" spans="5:14" ht="15.75" x14ac:dyDescent="0.25">
      <c r="E43" s="223"/>
      <c r="F43" s="53">
        <v>2015</v>
      </c>
      <c r="G43" s="64">
        <f>+L40/L41</f>
        <v>7.123102379134677E-2</v>
      </c>
      <c r="J43" s="69"/>
      <c r="K43" s="69"/>
      <c r="L43" s="69"/>
      <c r="N43" s="42" t="s">
        <v>225</v>
      </c>
    </row>
    <row r="44" spans="5:14" ht="15.75" x14ac:dyDescent="0.25">
      <c r="E44" s="223"/>
      <c r="F44" s="55"/>
      <c r="G44" s="64"/>
      <c r="J44" s="69"/>
      <c r="K44" s="69"/>
      <c r="L44" s="69"/>
    </row>
    <row r="45" spans="5:14" ht="16.5" thickBot="1" x14ac:dyDescent="0.3">
      <c r="E45" s="223"/>
      <c r="H45" s="56" t="s">
        <v>216</v>
      </c>
      <c r="J45" s="48">
        <f>+'Income Statement'!J50</f>
        <v>-33521410</v>
      </c>
      <c r="K45" s="48">
        <f>+'Income Statement'!L50</f>
        <v>20485084</v>
      </c>
      <c r="L45" s="48">
        <f>+'Income Statement'!N50</f>
        <v>8311390.4722000062</v>
      </c>
      <c r="N45" s="42" t="s">
        <v>250</v>
      </c>
    </row>
    <row r="46" spans="5:14" ht="15.75" x14ac:dyDescent="0.25">
      <c r="E46" s="223"/>
      <c r="F46" s="55"/>
      <c r="G46" s="50" t="s">
        <v>201</v>
      </c>
      <c r="H46" s="51" t="s">
        <v>217</v>
      </c>
      <c r="J46" s="52">
        <f>+'Balance Sheet'!P41</f>
        <v>22624851</v>
      </c>
      <c r="K46" s="52">
        <f>+'Balance Sheet'!R41</f>
        <v>27859935</v>
      </c>
      <c r="L46" s="52">
        <f>+'Balance Sheet'!T41</f>
        <v>21171325</v>
      </c>
    </row>
    <row r="47" spans="5:14" ht="15.75" x14ac:dyDescent="0.25">
      <c r="E47" s="223"/>
      <c r="J47" s="52"/>
      <c r="K47" s="52"/>
      <c r="L47" s="52"/>
      <c r="N47" s="42" t="s">
        <v>226</v>
      </c>
    </row>
    <row r="48" spans="5:14" ht="15.75" x14ac:dyDescent="0.25">
      <c r="E48" s="223"/>
      <c r="F48" s="53">
        <v>2013</v>
      </c>
      <c r="G48" s="65">
        <f>+J45/J46</f>
        <v>-1.4816190391706889</v>
      </c>
      <c r="J48" s="69"/>
      <c r="K48" s="69"/>
      <c r="L48" s="69"/>
      <c r="N48" s="42" t="s">
        <v>227</v>
      </c>
    </row>
    <row r="49" spans="5:14" ht="15.75" x14ac:dyDescent="0.25">
      <c r="E49" s="223"/>
      <c r="F49" s="53">
        <v>2014</v>
      </c>
      <c r="G49" s="65">
        <f>+K45/K46</f>
        <v>0.73528829123255313</v>
      </c>
      <c r="J49" s="69"/>
      <c r="K49" s="69"/>
      <c r="L49" s="69"/>
      <c r="N49" s="42" t="s">
        <v>228</v>
      </c>
    </row>
    <row r="50" spans="5:14" ht="16.5" thickBot="1" x14ac:dyDescent="0.3">
      <c r="E50" s="224"/>
      <c r="F50" s="59">
        <v>2015</v>
      </c>
      <c r="G50" s="66">
        <f>+L45/L46</f>
        <v>0.39257771878708614</v>
      </c>
      <c r="N50" s="42" t="s">
        <v>229</v>
      </c>
    </row>
  </sheetData>
  <mergeCells count="3">
    <mergeCell ref="E6:E21"/>
    <mergeCell ref="E22:E34"/>
    <mergeCell ref="E35:E50"/>
  </mergeCells>
  <pageMargins left="0.7" right="0.7" top="0.75" bottom="0.75" header="0.3" footer="0.3"/>
  <pageSetup scale="42" fitToHeight="0" orientation="landscape" r:id="rId1"/>
  <ignoredErrors>
    <ignoredError sqref="J26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6"/>
  <sheetViews>
    <sheetView showGridLines="0" view="pageBreakPreview" topLeftCell="C32" zoomScale="90" zoomScaleNormal="100" zoomScaleSheetLayoutView="90" workbookViewId="0">
      <selection activeCell="K53" sqref="K53"/>
    </sheetView>
  </sheetViews>
  <sheetFormatPr defaultColWidth="8.7109375" defaultRowHeight="15" x14ac:dyDescent="0.25"/>
  <cols>
    <col min="1" max="1" width="3.28515625" style="72" hidden="1" customWidth="1"/>
    <col min="2" max="2" width="4.85546875" style="72" hidden="1" customWidth="1"/>
    <col min="3" max="3" width="31.7109375" style="72" customWidth="1"/>
    <col min="4" max="4" width="7.140625" style="72" customWidth="1"/>
    <col min="5" max="5" width="16.5703125" style="72" customWidth="1"/>
    <col min="6" max="10" width="12.28515625" style="72" bestFit="1" customWidth="1"/>
    <col min="11" max="11" width="12" style="72" bestFit="1" customWidth="1"/>
    <col min="12" max="12" width="9.140625" style="72" bestFit="1" customWidth="1"/>
    <col min="13" max="13" width="12" style="72" bestFit="1" customWidth="1"/>
    <col min="14" max="14" width="9.140625" style="72" bestFit="1" customWidth="1"/>
    <col min="15" max="15" width="4.28515625" style="72" customWidth="1"/>
    <col min="16" max="16" width="28.7109375" style="72" customWidth="1"/>
    <col min="17" max="17" width="5.7109375" style="72" customWidth="1"/>
    <col min="18" max="18" width="9.28515625" style="170" customWidth="1"/>
    <col min="19" max="19" width="8.7109375" style="72"/>
    <col min="20" max="20" width="9.5703125" style="72" customWidth="1"/>
    <col min="21" max="21" width="8.7109375" style="72"/>
    <col min="22" max="22" width="9.28515625" style="72" customWidth="1"/>
    <col min="23" max="16384" width="8.7109375" style="72"/>
  </cols>
  <sheetData>
    <row r="1" spans="1:27" hidden="1" x14ac:dyDescent="0.25">
      <c r="A1" s="72" t="s">
        <v>203</v>
      </c>
    </row>
    <row r="2" spans="1:27" x14ac:dyDescent="0.25">
      <c r="B2" s="209" t="s">
        <v>0</v>
      </c>
      <c r="C2" s="209"/>
      <c r="D2" s="209"/>
      <c r="E2" s="209"/>
      <c r="F2" s="209"/>
      <c r="G2" s="209"/>
      <c r="H2" s="209"/>
      <c r="I2" s="209"/>
      <c r="J2" s="209"/>
      <c r="K2" s="178"/>
      <c r="L2" s="178"/>
      <c r="M2" s="178"/>
      <c r="N2" s="178"/>
      <c r="P2" s="209" t="s">
        <v>0</v>
      </c>
      <c r="Q2" s="209"/>
      <c r="R2" s="209"/>
      <c r="S2" s="209"/>
      <c r="T2" s="209"/>
      <c r="U2" s="209"/>
      <c r="V2" s="209"/>
      <c r="W2" s="85"/>
      <c r="X2" s="85"/>
      <c r="Y2" s="85"/>
      <c r="Z2" s="85"/>
      <c r="AA2" s="85"/>
    </row>
    <row r="3" spans="1:27" x14ac:dyDescent="0.25">
      <c r="A3" s="215" t="s">
        <v>266</v>
      </c>
      <c r="B3" s="215"/>
      <c r="C3" s="215"/>
      <c r="D3" s="215"/>
      <c r="E3" s="215"/>
      <c r="F3" s="215"/>
      <c r="G3" s="215"/>
      <c r="H3" s="215"/>
      <c r="I3" s="215"/>
      <c r="J3" s="215"/>
      <c r="K3" s="225" t="s">
        <v>259</v>
      </c>
      <c r="L3" s="225"/>
      <c r="M3" s="225" t="s">
        <v>259</v>
      </c>
      <c r="N3" s="225"/>
      <c r="P3" s="209" t="s">
        <v>267</v>
      </c>
      <c r="Q3" s="209"/>
      <c r="R3" s="209"/>
      <c r="S3" s="209"/>
      <c r="T3" s="209"/>
      <c r="U3" s="209"/>
      <c r="V3" s="209"/>
      <c r="W3" s="85"/>
      <c r="X3" s="85"/>
      <c r="Y3" s="85"/>
      <c r="Z3" s="85"/>
      <c r="AA3" s="85"/>
    </row>
    <row r="4" spans="1:27" x14ac:dyDescent="0.25">
      <c r="A4" s="84"/>
      <c r="B4" s="84"/>
      <c r="C4" s="98"/>
      <c r="D4" s="98"/>
      <c r="E4" s="226">
        <v>2013</v>
      </c>
      <c r="F4" s="226"/>
      <c r="G4" s="227">
        <v>2014</v>
      </c>
      <c r="H4" s="227"/>
      <c r="I4" s="227">
        <v>2015</v>
      </c>
      <c r="J4" s="227"/>
      <c r="K4" s="225" t="s">
        <v>260</v>
      </c>
      <c r="L4" s="225"/>
      <c r="M4" s="225" t="s">
        <v>261</v>
      </c>
      <c r="N4" s="225"/>
      <c r="Q4" s="217">
        <v>2013</v>
      </c>
      <c r="R4" s="217"/>
      <c r="S4" s="209">
        <v>2014</v>
      </c>
      <c r="T4" s="209"/>
      <c r="U4" s="209">
        <v>2015</v>
      </c>
      <c r="V4" s="209"/>
    </row>
    <row r="5" spans="1:27" x14ac:dyDescent="0.25">
      <c r="A5" s="84"/>
      <c r="B5" s="84"/>
      <c r="C5" s="195" t="s">
        <v>75</v>
      </c>
      <c r="D5" s="98"/>
      <c r="E5" s="196"/>
      <c r="F5" s="196"/>
      <c r="G5" s="197"/>
      <c r="H5" s="197"/>
      <c r="I5" s="197"/>
      <c r="J5" s="197"/>
      <c r="K5" s="177" t="s">
        <v>262</v>
      </c>
      <c r="L5" s="177" t="s">
        <v>263</v>
      </c>
      <c r="M5" s="177" t="s">
        <v>262</v>
      </c>
      <c r="N5" s="177" t="s">
        <v>263</v>
      </c>
      <c r="P5" s="131" t="s">
        <v>75</v>
      </c>
      <c r="Q5" s="128"/>
    </row>
    <row r="6" spans="1:27" x14ac:dyDescent="0.25">
      <c r="A6" s="84"/>
      <c r="B6" s="84"/>
      <c r="C6" s="98" t="s">
        <v>77</v>
      </c>
      <c r="D6" s="98"/>
      <c r="E6" s="120">
        <f>-'Trial Balance'!B41</f>
        <v>307716148</v>
      </c>
      <c r="F6" s="98"/>
      <c r="G6" s="120">
        <f>-'Trial Balance'!C41</f>
        <v>271839067</v>
      </c>
      <c r="H6" s="98"/>
      <c r="I6" s="120">
        <f>-'Trial Balance'!D41</f>
        <v>288876206</v>
      </c>
      <c r="J6" s="98"/>
      <c r="K6" s="182"/>
      <c r="L6" s="183"/>
      <c r="M6" s="184"/>
      <c r="N6" s="184"/>
      <c r="P6" s="128" t="s">
        <v>77</v>
      </c>
      <c r="Q6" s="128"/>
      <c r="R6" s="176">
        <f>+'Income Statement'!I6/'Income Statement'!J8</f>
        <v>1.0186100215658251</v>
      </c>
      <c r="S6" s="168"/>
      <c r="T6" s="176">
        <f>+'Income Statement'!K6/'Income Statement'!L8</f>
        <v>1.0479256752000583</v>
      </c>
      <c r="U6" s="168"/>
      <c r="V6" s="176">
        <f>+'Income Statement'!M6/'Income Statement'!N8</f>
        <v>1.086956519775979</v>
      </c>
    </row>
    <row r="7" spans="1:27" x14ac:dyDescent="0.25">
      <c r="A7" s="84"/>
      <c r="B7" s="84"/>
      <c r="C7" s="98" t="s">
        <v>78</v>
      </c>
      <c r="D7" s="98"/>
      <c r="E7" s="120">
        <f>-'Trial Balance'!B42</f>
        <v>-5621979</v>
      </c>
      <c r="F7" s="98">
        <f>SUM(E6:E7)</f>
        <v>302094169</v>
      </c>
      <c r="G7" s="120">
        <f>-'Trial Balance'!C42</f>
        <v>-12432247</v>
      </c>
      <c r="H7" s="198">
        <f>SUM(G6:G7)</f>
        <v>259406820</v>
      </c>
      <c r="I7" s="120">
        <f>-'Trial Balance'!D42</f>
        <v>-23110096</v>
      </c>
      <c r="J7" s="98">
        <f>SUM(I6:I7)</f>
        <v>265766110</v>
      </c>
      <c r="K7" s="182"/>
      <c r="L7" s="183"/>
      <c r="M7" s="184"/>
      <c r="N7" s="184"/>
      <c r="P7" s="128" t="s">
        <v>78</v>
      </c>
      <c r="Q7" s="128"/>
      <c r="R7" s="172">
        <f>+'Income Statement'!I7/'Income Statement'!J8</f>
        <v>-1.8610021565825058E-2</v>
      </c>
      <c r="T7" s="172">
        <f>+'Income Statement'!K7/'Income Statement'!L8</f>
        <v>-4.7925675200058346E-2</v>
      </c>
      <c r="V7" s="172">
        <f>+'Income Statement'!M7/'Income Statement'!N8</f>
        <v>-8.6956519775978958E-2</v>
      </c>
    </row>
    <row r="8" spans="1:27" x14ac:dyDescent="0.25">
      <c r="A8" s="84"/>
      <c r="B8" s="84"/>
      <c r="C8" s="98"/>
      <c r="D8" s="199" t="s">
        <v>79</v>
      </c>
      <c r="E8" s="98"/>
      <c r="F8" s="200">
        <f>F7</f>
        <v>302094169</v>
      </c>
      <c r="G8" s="98"/>
      <c r="H8" s="98">
        <f>+H7</f>
        <v>259406820</v>
      </c>
      <c r="I8" s="98"/>
      <c r="J8" s="200">
        <f>+J7</f>
        <v>265766110</v>
      </c>
      <c r="K8" s="185">
        <f>H8-F8</f>
        <v>-42687349</v>
      </c>
      <c r="L8" s="186">
        <f>K8/F8</f>
        <v>-0.1413047763924235</v>
      </c>
      <c r="M8" s="185">
        <f>J8-H8</f>
        <v>6359290</v>
      </c>
      <c r="N8" s="186">
        <f>M8/H8</f>
        <v>2.4514737122177437E-2</v>
      </c>
      <c r="P8" s="128"/>
      <c r="Q8" s="193" t="s">
        <v>79</v>
      </c>
      <c r="R8" s="171">
        <f>SUM(R6:R7)</f>
        <v>1</v>
      </c>
      <c r="T8" s="171">
        <f>SUM(T6:T7)</f>
        <v>1</v>
      </c>
      <c r="V8" s="171">
        <f>SUM(V6:V7)</f>
        <v>1</v>
      </c>
    </row>
    <row r="9" spans="1:27" x14ac:dyDescent="0.25">
      <c r="A9" s="84"/>
      <c r="B9" s="84"/>
      <c r="C9" s="195" t="s">
        <v>80</v>
      </c>
      <c r="D9" s="98"/>
      <c r="E9" s="98"/>
      <c r="F9" s="98"/>
      <c r="G9" s="98"/>
      <c r="H9" s="98"/>
      <c r="I9" s="98"/>
      <c r="J9" s="98"/>
      <c r="K9" s="182"/>
      <c r="L9" s="183"/>
      <c r="M9" s="182"/>
      <c r="N9" s="183"/>
      <c r="P9" s="131" t="s">
        <v>80</v>
      </c>
      <c r="Q9" s="128"/>
    </row>
    <row r="10" spans="1:27" x14ac:dyDescent="0.25">
      <c r="A10" s="84"/>
      <c r="B10" s="84"/>
      <c r="C10" s="98"/>
      <c r="D10" s="98"/>
      <c r="E10" s="120">
        <v>0</v>
      </c>
      <c r="F10" s="98"/>
      <c r="G10" s="120">
        <v>0</v>
      </c>
      <c r="H10" s="98"/>
      <c r="I10" s="120"/>
      <c r="J10" s="98"/>
      <c r="K10" s="182"/>
      <c r="L10" s="183"/>
      <c r="M10" s="182"/>
      <c r="N10" s="183"/>
      <c r="P10" s="128"/>
      <c r="Q10" s="128"/>
    </row>
    <row r="11" spans="1:27" x14ac:dyDescent="0.25">
      <c r="A11" s="84"/>
      <c r="B11" s="84"/>
      <c r="C11" s="79" t="s">
        <v>44</v>
      </c>
      <c r="D11" s="98"/>
      <c r="E11" s="120">
        <f>+'Trial Balance'!B46</f>
        <v>176961437</v>
      </c>
      <c r="F11" s="98"/>
      <c r="G11" s="120">
        <f>+'Trial Balance'!C46</f>
        <v>161029981</v>
      </c>
      <c r="H11" s="98"/>
      <c r="I11" s="120">
        <v>179103247.52779999</v>
      </c>
      <c r="J11" s="98"/>
      <c r="K11" s="182"/>
      <c r="L11" s="183"/>
      <c r="M11" s="182"/>
      <c r="N11" s="183"/>
      <c r="P11" s="78" t="s">
        <v>44</v>
      </c>
      <c r="Q11" s="128"/>
      <c r="R11" s="176">
        <f>+'Income Statement'!I11/'Income Statement'!J8</f>
        <v>0.58578236576290887</v>
      </c>
      <c r="S11" s="168"/>
      <c r="T11" s="176">
        <f>+'Income Statement'!K11/'Income Statement'!L8</f>
        <v>0.62076232614084703</v>
      </c>
      <c r="U11" s="176"/>
      <c r="V11" s="176">
        <f>+'Income Statement'!M11/'Income Statement'!N8</f>
        <v>0.67391304153791465</v>
      </c>
    </row>
    <row r="12" spans="1:27" ht="15.75" thickBot="1" x14ac:dyDescent="0.3">
      <c r="A12" s="84"/>
      <c r="B12" s="84"/>
      <c r="C12" s="120"/>
      <c r="D12" s="98"/>
      <c r="E12" s="145">
        <v>0</v>
      </c>
      <c r="F12" s="98">
        <f>SUM(E10:E12)</f>
        <v>176961437</v>
      </c>
      <c r="G12" s="145">
        <v>0</v>
      </c>
      <c r="H12" s="98">
        <f>SUM(G10:G12)</f>
        <v>161029981</v>
      </c>
      <c r="I12" s="145"/>
      <c r="J12" s="98">
        <f>SUM(I10:I12)</f>
        <v>179103247.52779999</v>
      </c>
      <c r="K12" s="187">
        <f>H12-F12</f>
        <v>-15931456</v>
      </c>
      <c r="L12" s="188">
        <f>K12/F12</f>
        <v>-9.0027840359365979E-2</v>
      </c>
      <c r="M12" s="187">
        <f>J12-H12</f>
        <v>18073266.527799994</v>
      </c>
      <c r="N12" s="188">
        <f t="shared" ref="N12:N52" si="0">M12/H12</f>
        <v>0.11223541365132493</v>
      </c>
      <c r="P12" s="121"/>
      <c r="Q12" s="128"/>
      <c r="R12" s="171"/>
    </row>
    <row r="13" spans="1:27" ht="15.75" thickBot="1" x14ac:dyDescent="0.3">
      <c r="A13" s="84"/>
      <c r="B13" s="84"/>
      <c r="C13" s="98"/>
      <c r="D13" s="199" t="s">
        <v>81</v>
      </c>
      <c r="E13" s="98"/>
      <c r="F13" s="200">
        <f>F8-SUM(E10:E12)</f>
        <v>125132732</v>
      </c>
      <c r="G13" s="98"/>
      <c r="H13" s="201">
        <f>H8-SUM(G10:G12)</f>
        <v>98376839</v>
      </c>
      <c r="I13" s="98"/>
      <c r="J13" s="200">
        <f>J8-SUM(I10:I12)</f>
        <v>86662862.472200006</v>
      </c>
      <c r="K13" s="187">
        <f>H13-F13</f>
        <v>-26755893</v>
      </c>
      <c r="L13" s="188">
        <f>K13/F13</f>
        <v>-0.21382009784618144</v>
      </c>
      <c r="M13" s="187">
        <f t="shared" ref="M13:M52" si="1">J13-H13</f>
        <v>-11713976.527799994</v>
      </c>
      <c r="N13" s="188">
        <f t="shared" si="0"/>
        <v>-0.11907250372010829</v>
      </c>
      <c r="P13" s="128"/>
      <c r="Q13" s="193" t="s">
        <v>81</v>
      </c>
      <c r="R13" s="205">
        <f>+R8-R11</f>
        <v>0.41421763423709113</v>
      </c>
      <c r="T13" s="205">
        <f>+T8-T11</f>
        <v>0.37923767385915297</v>
      </c>
      <c r="V13" s="205">
        <f>+V8-V11</f>
        <v>0.32608695846208535</v>
      </c>
    </row>
    <row r="14" spans="1:27" x14ac:dyDescent="0.25">
      <c r="A14" s="84"/>
      <c r="B14" s="84"/>
      <c r="C14" s="195" t="s">
        <v>83</v>
      </c>
      <c r="D14" s="98"/>
      <c r="E14" s="98"/>
      <c r="F14" s="98"/>
      <c r="G14" s="98"/>
      <c r="H14" s="139"/>
      <c r="I14" s="98"/>
      <c r="J14" s="98"/>
      <c r="K14" s="182"/>
      <c r="L14" s="183"/>
      <c r="M14" s="182"/>
      <c r="N14" s="183"/>
      <c r="P14" s="131" t="s">
        <v>83</v>
      </c>
      <c r="Q14" s="128"/>
      <c r="R14" s="171"/>
    </row>
    <row r="15" spans="1:27" x14ac:dyDescent="0.25">
      <c r="A15" s="84"/>
      <c r="B15" s="84"/>
      <c r="C15" s="120" t="s">
        <v>46</v>
      </c>
      <c r="D15" s="98"/>
      <c r="E15" s="120">
        <f>VLOOKUP(C15,'Trial Balance'!A:D,2,FALSE)</f>
        <v>1121425</v>
      </c>
      <c r="F15" s="98"/>
      <c r="G15" s="144">
        <f>VLOOKUP(C15,'Trial Balance'!A:D,3,FALSE)</f>
        <v>1161276</v>
      </c>
      <c r="H15" s="98"/>
      <c r="I15" s="120">
        <f>VLOOKUP(C15,'Trial Balance'!A:D,4,FALSE)</f>
        <v>1058391</v>
      </c>
      <c r="J15" s="98"/>
      <c r="K15" s="181">
        <f t="shared" ref="K15:K34" si="2">G15-E15</f>
        <v>39851</v>
      </c>
      <c r="L15" s="183">
        <f>K15/E15</f>
        <v>3.5536036738970503E-2</v>
      </c>
      <c r="M15" s="181">
        <f t="shared" ref="M15:M34" si="3">I15-G15</f>
        <v>-102885</v>
      </c>
      <c r="N15" s="189">
        <f t="shared" ref="N15:N34" si="4">M15/I15</f>
        <v>-9.7208876492713939E-2</v>
      </c>
      <c r="P15" s="121" t="s">
        <v>46</v>
      </c>
      <c r="R15" s="194">
        <f>+'Income Statement'!I15/'Income Statement'!$J$8</f>
        <v>3.7121702934954696E-3</v>
      </c>
      <c r="T15" s="194">
        <f>+'Income Statement'!K15/'Income Statement'!$L$8</f>
        <v>4.4766594802711814E-3</v>
      </c>
      <c r="V15" s="194">
        <f>+'Income Statement'!M15/'Income Statement'!$N$8</f>
        <v>3.9824152146411742E-3</v>
      </c>
    </row>
    <row r="16" spans="1:27" x14ac:dyDescent="0.25">
      <c r="A16" s="84"/>
      <c r="B16" s="84"/>
      <c r="C16" s="98" t="s">
        <v>65</v>
      </c>
      <c r="D16" s="98"/>
      <c r="E16" s="120">
        <f>VLOOKUP(C16,'Trial Balance'!A:D,2,FALSE)</f>
        <v>1375352</v>
      </c>
      <c r="F16" s="98"/>
      <c r="G16" s="144">
        <f>VLOOKUP(C16,'Trial Balance'!A:D,3,FALSE)</f>
        <v>1297104</v>
      </c>
      <c r="H16" s="98"/>
      <c r="I16" s="120">
        <f>VLOOKUP(C16,'Trial Balance'!A:D,4,FALSE)</f>
        <v>1422381</v>
      </c>
      <c r="J16" s="98"/>
      <c r="K16" s="181">
        <f t="shared" si="2"/>
        <v>-78248</v>
      </c>
      <c r="L16" s="183">
        <f t="shared" ref="L16:L34" si="5">K16/E16</f>
        <v>-5.6893071737271622E-2</v>
      </c>
      <c r="M16" s="181">
        <f t="shared" si="3"/>
        <v>125277</v>
      </c>
      <c r="N16" s="189">
        <f t="shared" si="4"/>
        <v>8.8075557814678351E-2</v>
      </c>
      <c r="P16" s="128" t="s">
        <v>65</v>
      </c>
      <c r="Q16" s="128"/>
      <c r="R16" s="194">
        <f>+'Income Statement'!I16/'Income Statement'!$J$8</f>
        <v>4.5527260739680149E-3</v>
      </c>
      <c r="T16" s="194">
        <f>+'Income Statement'!K16/'Income Statement'!$L$8</f>
        <v>5.000269460918568E-3</v>
      </c>
      <c r="V16" s="194">
        <f>+'Income Statement'!M16/'Income Statement'!$N$8</f>
        <v>5.3520029322023039E-3</v>
      </c>
    </row>
    <row r="17" spans="1:22" x14ac:dyDescent="0.25">
      <c r="A17" s="84"/>
      <c r="B17" s="84"/>
      <c r="C17" s="120" t="s">
        <v>47</v>
      </c>
      <c r="D17" s="98"/>
      <c r="E17" s="120">
        <f>VLOOKUP(C17,'Trial Balance'!A:D,2,FALSE)</f>
        <v>261218</v>
      </c>
      <c r="F17" s="98"/>
      <c r="G17" s="144">
        <f>VLOOKUP(C17,'Trial Balance'!A:D,3,FALSE)</f>
        <v>235763</v>
      </c>
      <c r="H17" s="98"/>
      <c r="I17" s="120">
        <f>VLOOKUP(C17,'Trial Balance'!A:D,4,FALSE)</f>
        <v>214001</v>
      </c>
      <c r="J17" s="98"/>
      <c r="K17" s="181">
        <f t="shared" si="2"/>
        <v>-25455</v>
      </c>
      <c r="L17" s="183">
        <f t="shared" si="5"/>
        <v>-9.7447342832423497E-2</v>
      </c>
      <c r="M17" s="181">
        <f t="shared" si="3"/>
        <v>-21762</v>
      </c>
      <c r="N17" s="189">
        <f t="shared" si="4"/>
        <v>-0.10169111359292714</v>
      </c>
      <c r="P17" s="121" t="s">
        <v>47</v>
      </c>
      <c r="Q17" s="128"/>
      <c r="R17" s="194">
        <f>+'Income Statement'!I17/'Income Statement'!$J$8</f>
        <v>8.6469063889809804E-4</v>
      </c>
      <c r="T17" s="194">
        <f>+'Income Statement'!K17/'Income Statement'!$L$8</f>
        <v>9.0885428532680825E-4</v>
      </c>
      <c r="V17" s="194">
        <f>+'Income Statement'!M17/'Income Statement'!$N$8</f>
        <v>8.052230587263365E-4</v>
      </c>
    </row>
    <row r="18" spans="1:22" x14ac:dyDescent="0.25">
      <c r="A18" s="84"/>
      <c r="B18" s="84"/>
      <c r="C18" s="120" t="s">
        <v>64</v>
      </c>
      <c r="D18" s="98"/>
      <c r="E18" s="120">
        <f>VLOOKUP(C18,'Trial Balance'!A:D,2,FALSE)</f>
        <v>5791730</v>
      </c>
      <c r="F18" s="98"/>
      <c r="G18" s="144">
        <f>VLOOKUP(C18,'Trial Balance'!A:D,3,FALSE)</f>
        <v>5848120</v>
      </c>
      <c r="H18" s="98"/>
      <c r="I18" s="120">
        <f>VLOOKUP(C18,'Trial Balance'!A:D,4,FALSE)</f>
        <v>5270689</v>
      </c>
      <c r="J18" s="98"/>
      <c r="K18" s="181">
        <f t="shared" si="2"/>
        <v>56390</v>
      </c>
      <c r="L18" s="183">
        <f t="shared" si="5"/>
        <v>9.7362964088450257E-3</v>
      </c>
      <c r="M18" s="181">
        <f t="shared" si="3"/>
        <v>-577431</v>
      </c>
      <c r="N18" s="189">
        <f t="shared" si="4"/>
        <v>-0.10955512647397712</v>
      </c>
      <c r="P18" s="121" t="s">
        <v>64</v>
      </c>
      <c r="Q18" s="128"/>
      <c r="R18" s="194">
        <f>+'Income Statement'!I18/'Income Statement'!$J$8</f>
        <v>1.917193575490694E-2</v>
      </c>
      <c r="T18" s="194">
        <f>+'Income Statement'!K18/'Income Statement'!$L$8</f>
        <v>2.2544202962744002E-2</v>
      </c>
      <c r="V18" s="194">
        <f>+'Income Statement'!M18/'Income Statement'!$N$8</f>
        <v>1.9832058346340699E-2</v>
      </c>
    </row>
    <row r="19" spans="1:22" x14ac:dyDescent="0.25">
      <c r="A19" s="84"/>
      <c r="B19" s="84"/>
      <c r="C19" s="120" t="s">
        <v>60</v>
      </c>
      <c r="D19" s="98"/>
      <c r="E19" s="120">
        <f>VLOOKUP(C19,'Trial Balance'!A:D,2,FALSE)</f>
        <v>100619</v>
      </c>
      <c r="F19" s="98"/>
      <c r="G19" s="144">
        <f>VLOOKUP(C19,'Trial Balance'!A:D,3,FALSE)</f>
        <v>110252</v>
      </c>
      <c r="H19" s="98"/>
      <c r="I19" s="120">
        <f>VLOOKUP(C19,'Trial Balance'!A:D,4,FALSE)</f>
        <v>101319</v>
      </c>
      <c r="J19" s="98"/>
      <c r="K19" s="181">
        <f t="shared" si="2"/>
        <v>9633</v>
      </c>
      <c r="L19" s="183">
        <f t="shared" si="5"/>
        <v>9.5737385583239742E-2</v>
      </c>
      <c r="M19" s="181">
        <f t="shared" si="3"/>
        <v>-8933</v>
      </c>
      <c r="N19" s="189">
        <f t="shared" si="4"/>
        <v>-8.8167076264076827E-2</v>
      </c>
      <c r="P19" s="121" t="s">
        <v>60</v>
      </c>
      <c r="Q19" s="128"/>
      <c r="R19" s="194">
        <f>+'Income Statement'!I19/'Income Statement'!$J$8</f>
        <v>3.3307163899611714E-4</v>
      </c>
      <c r="T19" s="194">
        <f>+'Income Statement'!K19/'Income Statement'!$L$8</f>
        <v>4.2501581107235348E-4</v>
      </c>
      <c r="V19" s="194">
        <f>+'Income Statement'!M19/'Income Statement'!$N$8</f>
        <v>3.8123370959525276E-4</v>
      </c>
    </row>
    <row r="20" spans="1:22" x14ac:dyDescent="0.25">
      <c r="A20" s="84"/>
      <c r="B20" s="84"/>
      <c r="C20" s="120" t="s">
        <v>53</v>
      </c>
      <c r="D20" s="98"/>
      <c r="E20" s="120">
        <f>VLOOKUP(C20,'Trial Balance'!A:D,2,FALSE)</f>
        <v>4506417</v>
      </c>
      <c r="F20" s="98"/>
      <c r="G20" s="144">
        <f>VLOOKUP(C20,'Trial Balance'!A:D,3,FALSE)</f>
        <v>11037039</v>
      </c>
      <c r="H20" s="98"/>
      <c r="I20" s="120">
        <f>VLOOKUP(C20,'Trial Balance'!A:D,4,FALSE)</f>
        <v>8987069</v>
      </c>
      <c r="J20" s="98"/>
      <c r="K20" s="181">
        <f t="shared" si="2"/>
        <v>6530622</v>
      </c>
      <c r="L20" s="183">
        <f t="shared" si="5"/>
        <v>1.4491827986624406</v>
      </c>
      <c r="M20" s="181">
        <f t="shared" si="3"/>
        <v>-2049970</v>
      </c>
      <c r="N20" s="189">
        <f t="shared" si="4"/>
        <v>-0.22810217658282139</v>
      </c>
      <c r="P20" s="121" t="s">
        <v>53</v>
      </c>
      <c r="Q20" s="128"/>
      <c r="R20" s="194">
        <f>+'Income Statement'!I20/'Income Statement'!$J$8</f>
        <v>1.4917259127897963E-2</v>
      </c>
      <c r="T20" s="194">
        <f>+'Income Statement'!K20/'Income Statement'!$L$8</f>
        <v>4.2547219845646307E-2</v>
      </c>
      <c r="V20" s="194">
        <f>+'Income Statement'!M20/'Income Statement'!$N$8</f>
        <v>3.3815707352604141E-2</v>
      </c>
    </row>
    <row r="21" spans="1:22" x14ac:dyDescent="0.25">
      <c r="A21" s="84"/>
      <c r="B21" s="84"/>
      <c r="C21" s="98" t="s">
        <v>50</v>
      </c>
      <c r="D21" s="98"/>
      <c r="E21" s="120">
        <f>VLOOKUP(C21,'Trial Balance'!A:D,2,FALSE)</f>
        <v>166250</v>
      </c>
      <c r="F21" s="98"/>
      <c r="G21" s="144">
        <f>VLOOKUP(C21,'Trial Balance'!A:D,3,FALSE)</f>
        <v>581102</v>
      </c>
      <c r="H21" s="98"/>
      <c r="I21" s="120">
        <f>VLOOKUP(C21,'Trial Balance'!A:D,4,FALSE)</f>
        <v>617155</v>
      </c>
      <c r="J21" s="98"/>
      <c r="K21" s="181">
        <f t="shared" si="2"/>
        <v>414852</v>
      </c>
      <c r="L21" s="183">
        <f t="shared" si="5"/>
        <v>2.4953503759398497</v>
      </c>
      <c r="M21" s="181">
        <f t="shared" si="3"/>
        <v>36053</v>
      </c>
      <c r="N21" s="189">
        <f t="shared" si="4"/>
        <v>5.8418063533472141E-2</v>
      </c>
      <c r="P21" s="128" t="s">
        <v>50</v>
      </c>
      <c r="Q21" s="128"/>
      <c r="R21" s="194">
        <f>+'Income Statement'!I21/'Income Statement'!$J$8</f>
        <v>5.5032508753917724E-4</v>
      </c>
      <c r="T21" s="194">
        <f>+'Income Statement'!K21/'Income Statement'!$L$8</f>
        <v>2.2401184363618504E-3</v>
      </c>
      <c r="V21" s="194">
        <f>+'Income Statement'!M21/'Income Statement'!$N$8</f>
        <v>2.3221734328729873E-3</v>
      </c>
    </row>
    <row r="22" spans="1:22" x14ac:dyDescent="0.25">
      <c r="A22" s="84"/>
      <c r="B22" s="84"/>
      <c r="C22" s="98" t="s">
        <v>51</v>
      </c>
      <c r="D22" s="98"/>
      <c r="E22" s="120">
        <f>VLOOKUP(C22,'Trial Balance'!A:D,2,FALSE)</f>
        <v>5378689</v>
      </c>
      <c r="F22" s="98"/>
      <c r="G22" s="144">
        <f>VLOOKUP(C22,'Trial Balance'!A:D,3,FALSE)</f>
        <v>4749095</v>
      </c>
      <c r="H22" s="98"/>
      <c r="I22" s="120">
        <f>VLOOKUP(C22,'Trial Balance'!A:D,4,FALSE)</f>
        <v>4325068</v>
      </c>
      <c r="J22" s="98"/>
      <c r="K22" s="181">
        <f t="shared" si="2"/>
        <v>-629594</v>
      </c>
      <c r="L22" s="183">
        <f t="shared" si="5"/>
        <v>-0.11705343067799608</v>
      </c>
      <c r="M22" s="181">
        <f t="shared" si="3"/>
        <v>-424027</v>
      </c>
      <c r="N22" s="189">
        <f t="shared" si="4"/>
        <v>-9.8039383427035137E-2</v>
      </c>
      <c r="P22" s="128" t="s">
        <v>51</v>
      </c>
      <c r="Q22" s="128"/>
      <c r="R22" s="194">
        <f>+'Income Statement'!I22/'Income Statement'!$J$8</f>
        <v>1.7804676660276748E-2</v>
      </c>
      <c r="T22" s="194">
        <f>+'Income Statement'!K22/'Income Statement'!$L$8</f>
        <v>1.8307517897948867E-2</v>
      </c>
      <c r="V22" s="194">
        <f>+'Income Statement'!M22/'Income Statement'!$N$8</f>
        <v>1.6273963599045791E-2</v>
      </c>
    </row>
    <row r="23" spans="1:22" x14ac:dyDescent="0.25">
      <c r="A23" s="84"/>
      <c r="B23" s="84"/>
      <c r="C23" s="120" t="s">
        <v>48</v>
      </c>
      <c r="D23" s="98"/>
      <c r="E23" s="120">
        <f>VLOOKUP(C23,'Trial Balance'!A:D,2,FALSE)</f>
        <v>2028032</v>
      </c>
      <c r="F23" s="98"/>
      <c r="G23" s="144">
        <f>VLOOKUP(C23,'Trial Balance'!A:D,3,FALSE)</f>
        <v>5875403</v>
      </c>
      <c r="H23" s="98"/>
      <c r="I23" s="120">
        <f>VLOOKUP(C23,'Trial Balance'!A:D,4,FALSE)</f>
        <v>13900800</v>
      </c>
      <c r="J23" s="98"/>
      <c r="K23" s="181">
        <f t="shared" si="2"/>
        <v>3847371</v>
      </c>
      <c r="L23" s="183">
        <f t="shared" si="5"/>
        <v>1.8970958051943954</v>
      </c>
      <c r="M23" s="181">
        <f t="shared" si="3"/>
        <v>8025397</v>
      </c>
      <c r="N23" s="189">
        <f t="shared" si="4"/>
        <v>0.57733346282228359</v>
      </c>
      <c r="P23" s="121" t="s">
        <v>48</v>
      </c>
      <c r="Q23" s="128"/>
      <c r="R23" s="194">
        <f>+'Income Statement'!I23/'Income Statement'!$J$8</f>
        <v>6.7132444386902414E-3</v>
      </c>
      <c r="T23" s="194">
        <f>+'Income Statement'!K23/'Income Statement'!$L$8</f>
        <v>2.2649377529858312E-2</v>
      </c>
      <c r="V23" s="194">
        <f>+'Income Statement'!M23/'Income Statement'!$N$8</f>
        <v>5.2304637336942621E-2</v>
      </c>
    </row>
    <row r="24" spans="1:22" x14ac:dyDescent="0.25">
      <c r="A24" s="84"/>
      <c r="B24" s="84"/>
      <c r="C24" s="120" t="s">
        <v>52</v>
      </c>
      <c r="D24" s="98"/>
      <c r="E24" s="120">
        <f>VLOOKUP(C24,'Trial Balance'!A:D,2,FALSE)</f>
        <v>1067428</v>
      </c>
      <c r="F24" s="98"/>
      <c r="G24" s="144">
        <f>VLOOKUP(C24,'Trial Balance'!A:D,3,FALSE)</f>
        <v>1045085</v>
      </c>
      <c r="H24" s="98"/>
      <c r="I24" s="120">
        <f>VLOOKUP(C24,'Trial Balance'!A:D,4,FALSE)</f>
        <v>951774</v>
      </c>
      <c r="J24" s="98"/>
      <c r="K24" s="181">
        <f t="shared" si="2"/>
        <v>-22343</v>
      </c>
      <c r="L24" s="183">
        <f t="shared" si="5"/>
        <v>-2.0931622554401796E-2</v>
      </c>
      <c r="M24" s="181">
        <f t="shared" si="3"/>
        <v>-93311</v>
      </c>
      <c r="N24" s="189">
        <f t="shared" si="4"/>
        <v>-9.8039030273993619E-2</v>
      </c>
      <c r="P24" s="121" t="s">
        <v>52</v>
      </c>
      <c r="Q24" s="128"/>
      <c r="R24" s="194">
        <f>+'Income Statement'!I24/'Income Statement'!$J$8</f>
        <v>3.5334280152888352E-3</v>
      </c>
      <c r="T24" s="194">
        <f>+'Income Statement'!K24/'Income Statement'!$L$8</f>
        <v>4.0287491284924579E-3</v>
      </c>
      <c r="V24" s="194">
        <f>+'Income Statement'!M24/'Income Statement'!$N$8</f>
        <v>3.5812466834089568E-3</v>
      </c>
    </row>
    <row r="25" spans="1:22" x14ac:dyDescent="0.25">
      <c r="A25" s="84"/>
      <c r="B25" s="84"/>
      <c r="C25" s="120" t="s">
        <v>54</v>
      </c>
      <c r="D25" s="98"/>
      <c r="E25" s="120">
        <f>VLOOKUP(C25,'Trial Balance'!A:D,2,FALSE)</f>
        <v>76420</v>
      </c>
      <c r="F25" s="98"/>
      <c r="G25" s="144">
        <f>VLOOKUP(C25,'Trial Balance'!A:D,3,FALSE)</f>
        <v>96020</v>
      </c>
      <c r="H25" s="98"/>
      <c r="I25" s="120">
        <f>VLOOKUP(C25,'Trial Balance'!A:D,4,FALSE)</f>
        <v>87641</v>
      </c>
      <c r="J25" s="98"/>
      <c r="K25" s="181">
        <f t="shared" si="2"/>
        <v>19600</v>
      </c>
      <c r="L25" s="183">
        <f t="shared" si="5"/>
        <v>0.25647736194713427</v>
      </c>
      <c r="M25" s="181">
        <f t="shared" si="3"/>
        <v>-8379</v>
      </c>
      <c r="N25" s="189">
        <f t="shared" si="4"/>
        <v>-9.5605937860133952E-2</v>
      </c>
      <c r="P25" s="121" t="s">
        <v>54</v>
      </c>
      <c r="Q25" s="128"/>
      <c r="R25" s="194">
        <f>+'Income Statement'!I25/'Income Statement'!$J$8</f>
        <v>2.5296747783304618E-4</v>
      </c>
      <c r="T25" s="194">
        <f>+'Income Statement'!K25/'Income Statement'!$L$8</f>
        <v>3.701521802703568E-4</v>
      </c>
      <c r="V25" s="194">
        <f>+'Income Statement'!M25/'Income Statement'!$N$8</f>
        <v>3.2976740337584804E-4</v>
      </c>
    </row>
    <row r="26" spans="1:22" x14ac:dyDescent="0.25">
      <c r="A26" s="84"/>
      <c r="B26" s="84"/>
      <c r="C26" s="120" t="s">
        <v>63</v>
      </c>
      <c r="D26" s="98"/>
      <c r="E26" s="120">
        <f>VLOOKUP(C26,'Trial Balance'!A:D,2,FALSE)</f>
        <v>169554</v>
      </c>
      <c r="F26" s="98"/>
      <c r="G26" s="144">
        <f>VLOOKUP(C26,'Trial Balance'!A:D,3,FALSE)</f>
        <v>170765</v>
      </c>
      <c r="H26" s="98"/>
      <c r="I26" s="120">
        <f>VLOOKUP(C26,'Trial Balance'!A:D,4,FALSE)</f>
        <v>155600</v>
      </c>
      <c r="J26" s="98"/>
      <c r="K26" s="181">
        <f t="shared" si="2"/>
        <v>1211</v>
      </c>
      <c r="L26" s="183">
        <f t="shared" si="5"/>
        <v>7.1422673602510112E-3</v>
      </c>
      <c r="M26" s="181">
        <f t="shared" si="3"/>
        <v>-15165</v>
      </c>
      <c r="N26" s="189">
        <f t="shared" si="4"/>
        <v>-9.7461439588688942E-2</v>
      </c>
      <c r="P26" s="121" t="s">
        <v>63</v>
      </c>
      <c r="Q26" s="128"/>
      <c r="R26" s="194">
        <f>+'Income Statement'!I26/'Income Statement'!$J$8</f>
        <v>5.6126207454206109E-4</v>
      </c>
      <c r="T26" s="194">
        <f>+'Income Statement'!K26/'Income Statement'!$L$8</f>
        <v>6.5829032559745347E-4</v>
      </c>
      <c r="V26" s="194">
        <f>+'Income Statement'!M26/'Income Statement'!$N$8</f>
        <v>5.8547720775986069E-4</v>
      </c>
    </row>
    <row r="27" spans="1:22" x14ac:dyDescent="0.25">
      <c r="A27" s="84"/>
      <c r="B27" s="84"/>
      <c r="C27" s="120" t="s">
        <v>58</v>
      </c>
      <c r="D27" s="98"/>
      <c r="E27" s="120">
        <f>VLOOKUP(C27,'Trial Balance'!A:D,2,FALSE)</f>
        <v>95467</v>
      </c>
      <c r="F27" s="98"/>
      <c r="G27" s="144">
        <f>VLOOKUP(C27,'Trial Balance'!A:D,3,FALSE)</f>
        <v>57911</v>
      </c>
      <c r="H27" s="98"/>
      <c r="I27" s="120">
        <f>VLOOKUP(C27,'Trial Balance'!A:D,4,FALSE)</f>
        <v>53651</v>
      </c>
      <c r="J27" s="98"/>
      <c r="K27" s="181">
        <f t="shared" si="2"/>
        <v>-37556</v>
      </c>
      <c r="L27" s="183">
        <f t="shared" si="5"/>
        <v>-0.39339248117150427</v>
      </c>
      <c r="M27" s="181">
        <f t="shared" si="3"/>
        <v>-4260</v>
      </c>
      <c r="N27" s="189">
        <f t="shared" si="4"/>
        <v>-7.940206147136121E-2</v>
      </c>
      <c r="P27" s="121" t="s">
        <v>58</v>
      </c>
      <c r="Q27" s="128"/>
      <c r="R27" s="194">
        <f>+'Income Statement'!I27/'Income Statement'!$J$8</f>
        <v>3.1601735417806094E-4</v>
      </c>
      <c r="T27" s="194">
        <f>+'Income Statement'!K27/'Income Statement'!$L$8</f>
        <v>2.2324393784249773E-4</v>
      </c>
      <c r="V27" s="194">
        <f>+'Income Statement'!M27/'Income Statement'!$N$8</f>
        <v>2.0187299276043887E-4</v>
      </c>
    </row>
    <row r="28" spans="1:22" x14ac:dyDescent="0.25">
      <c r="A28" s="84"/>
      <c r="B28" s="84"/>
      <c r="C28" s="120" t="s">
        <v>59</v>
      </c>
      <c r="D28" s="98"/>
      <c r="E28" s="120">
        <f>VLOOKUP(C28,'Trial Balance'!A:D,2,FALSE)</f>
        <v>160042</v>
      </c>
      <c r="F28" s="98"/>
      <c r="G28" s="144">
        <f>VLOOKUP(C28,'Trial Balance'!A:D,3,FALSE)</f>
        <v>87140</v>
      </c>
      <c r="H28" s="98"/>
      <c r="I28" s="120">
        <f>VLOOKUP(C28,'Trial Balance'!A:D,4,FALSE)</f>
        <v>79360</v>
      </c>
      <c r="J28" s="98"/>
      <c r="K28" s="181">
        <f t="shared" si="2"/>
        <v>-72902</v>
      </c>
      <c r="L28" s="183">
        <f t="shared" si="5"/>
        <v>-0.45551792654428214</v>
      </c>
      <c r="M28" s="181">
        <f t="shared" si="3"/>
        <v>-7780</v>
      </c>
      <c r="N28" s="189">
        <f t="shared" si="4"/>
        <v>-9.803427419354839E-2</v>
      </c>
      <c r="P28" s="121" t="s">
        <v>59</v>
      </c>
      <c r="Q28" s="128"/>
      <c r="R28" s="194">
        <f>+'Income Statement'!I28/'Income Statement'!$J$8</f>
        <v>5.2977520396959405E-4</v>
      </c>
      <c r="T28" s="194">
        <f>+'Income Statement'!K28/'Income Statement'!$L$8</f>
        <v>3.3592023525056124E-4</v>
      </c>
      <c r="V28" s="194">
        <f>+'Income Statement'!M28/'Income Statement'!$N$8</f>
        <v>2.9860842678549194E-4</v>
      </c>
    </row>
    <row r="29" spans="1:22" x14ac:dyDescent="0.25">
      <c r="A29" s="84"/>
      <c r="B29" s="84"/>
      <c r="C29" s="120" t="s">
        <v>55</v>
      </c>
      <c r="D29" s="98"/>
      <c r="E29" s="120">
        <f>VLOOKUP(C29,'Trial Balance'!A:D,2,FALSE)</f>
        <v>21279</v>
      </c>
      <c r="F29" s="98"/>
      <c r="G29" s="144">
        <f>VLOOKUP(C29,'Trial Balance'!A:D,3,FALSE)</f>
        <v>27803</v>
      </c>
      <c r="H29" s="98"/>
      <c r="I29" s="120">
        <f>VLOOKUP(C29,'Trial Balance'!A:D,4,FALSE)</f>
        <v>25390</v>
      </c>
      <c r="J29" s="98"/>
      <c r="K29" s="181">
        <f t="shared" si="2"/>
        <v>6524</v>
      </c>
      <c r="L29" s="183">
        <f t="shared" si="5"/>
        <v>0.30659335495089057</v>
      </c>
      <c r="M29" s="181">
        <f t="shared" si="3"/>
        <v>-2413</v>
      </c>
      <c r="N29" s="189">
        <f t="shared" si="4"/>
        <v>-9.5037416305632144E-2</v>
      </c>
      <c r="P29" s="121" t="s">
        <v>55</v>
      </c>
      <c r="Q29" s="128"/>
      <c r="R29" s="194">
        <f>+'Income Statement'!I29/'Income Statement'!$J$8</f>
        <v>7.043830097892423E-5</v>
      </c>
      <c r="T29" s="194">
        <f>+'Income Statement'!K29/'Income Statement'!$L$8</f>
        <v>1.0717914047132608E-4</v>
      </c>
      <c r="V29" s="194">
        <f>+'Income Statement'!M29/'Income Statement'!$N$8</f>
        <v>9.5535130495005548E-5</v>
      </c>
    </row>
    <row r="30" spans="1:22" x14ac:dyDescent="0.25">
      <c r="A30" s="84"/>
      <c r="B30" s="84"/>
      <c r="C30" s="120" t="s">
        <v>56</v>
      </c>
      <c r="D30" s="98"/>
      <c r="E30" s="120">
        <f>VLOOKUP(C30,'Trial Balance'!A:D,2,FALSE)</f>
        <v>1938736</v>
      </c>
      <c r="F30" s="98"/>
      <c r="G30" s="144">
        <f>VLOOKUP(C30,'Trial Balance'!A:D,3,FALSE)</f>
        <v>1767149</v>
      </c>
      <c r="H30" s="98"/>
      <c r="I30" s="120">
        <f>VLOOKUP(C30,'Trial Balance'!A:D,4,FALSE)</f>
        <v>1609342</v>
      </c>
      <c r="J30" s="98"/>
      <c r="K30" s="181">
        <f t="shared" si="2"/>
        <v>-171587</v>
      </c>
      <c r="L30" s="183">
        <f t="shared" si="5"/>
        <v>-8.850457205106832E-2</v>
      </c>
      <c r="M30" s="181">
        <f t="shared" si="3"/>
        <v>-157807</v>
      </c>
      <c r="N30" s="189">
        <f t="shared" si="4"/>
        <v>-9.8056845592795067E-2</v>
      </c>
      <c r="P30" s="121" t="s">
        <v>56</v>
      </c>
      <c r="Q30" s="128"/>
      <c r="R30" s="194">
        <f>+'Income Statement'!I30/'Income Statement'!$J$8</f>
        <v>6.4176544897164168E-3</v>
      </c>
      <c r="T30" s="194">
        <f>+'Income Statement'!K30/'Income Statement'!$L$8</f>
        <v>6.8122688524534548E-3</v>
      </c>
      <c r="V30" s="194">
        <f>+'Income Statement'!M30/'Income Statement'!$N$8</f>
        <v>6.0554823938989057E-3</v>
      </c>
    </row>
    <row r="31" spans="1:22" x14ac:dyDescent="0.25">
      <c r="A31" s="84"/>
      <c r="B31" s="84"/>
      <c r="C31" s="120" t="s">
        <v>57</v>
      </c>
      <c r="D31" s="98"/>
      <c r="E31" s="120">
        <f>VLOOKUP(C31,'Trial Balance'!A:D,2,FALSE)</f>
        <v>3750000</v>
      </c>
      <c r="F31" s="98"/>
      <c r="G31" s="144">
        <f>VLOOKUP(C31,'Trial Balance'!A:D,3,FALSE)</f>
        <v>3696000</v>
      </c>
      <c r="H31" s="98"/>
      <c r="I31" s="120">
        <f>VLOOKUP(C31,'Trial Balance'!A:D,4,FALSE)</f>
        <v>3366000</v>
      </c>
      <c r="J31" s="98"/>
      <c r="K31" s="181">
        <f t="shared" si="2"/>
        <v>-54000</v>
      </c>
      <c r="L31" s="183">
        <f t="shared" si="5"/>
        <v>-1.44E-2</v>
      </c>
      <c r="M31" s="181">
        <f t="shared" si="3"/>
        <v>-330000</v>
      </c>
      <c r="N31" s="189">
        <f t="shared" si="4"/>
        <v>-9.8039215686274508E-2</v>
      </c>
      <c r="P31" s="121" t="s">
        <v>57</v>
      </c>
      <c r="Q31" s="128"/>
      <c r="R31" s="194">
        <f>+'Income Statement'!I31/'Income Statement'!$J$8</f>
        <v>1.2413347839229561E-2</v>
      </c>
      <c r="T31" s="194">
        <f>+'Income Statement'!K31/'Income Statement'!$L$8</f>
        <v>1.424789062986085E-2</v>
      </c>
      <c r="V31" s="194">
        <f>+'Income Statement'!M31/'Income Statement'!$N$8</f>
        <v>1.2665271730846344E-2</v>
      </c>
    </row>
    <row r="32" spans="1:22" x14ac:dyDescent="0.25">
      <c r="A32" s="84"/>
      <c r="B32" s="84"/>
      <c r="C32" s="120" t="s">
        <v>61</v>
      </c>
      <c r="D32" s="98"/>
      <c r="E32" s="120">
        <f>VLOOKUP(C32,'Trial Balance'!A:D,2,FALSE)</f>
        <v>3254357</v>
      </c>
      <c r="F32" s="98"/>
      <c r="G32" s="144">
        <f>VLOOKUP(C32,'Trial Balance'!A:D,3,FALSE)</f>
        <v>1370273</v>
      </c>
      <c r="H32" s="98"/>
      <c r="I32" s="120">
        <f>VLOOKUP(C32,'Trial Balance'!A:D,4,FALSE)</f>
        <v>2230615</v>
      </c>
      <c r="J32" s="98"/>
      <c r="K32" s="181">
        <f t="shared" si="2"/>
        <v>-1884084</v>
      </c>
      <c r="L32" s="183">
        <f t="shared" si="5"/>
        <v>-0.57894201527367772</v>
      </c>
      <c r="M32" s="181">
        <f t="shared" si="3"/>
        <v>860342</v>
      </c>
      <c r="N32" s="189">
        <f t="shared" si="4"/>
        <v>0.38569721803179841</v>
      </c>
      <c r="P32" s="121" t="s">
        <v>61</v>
      </c>
      <c r="Q32" s="128"/>
      <c r="R32" s="194">
        <f>+'Income Statement'!I32/'Income Statement'!$J$8</f>
        <v>1.0772657449075093E-2</v>
      </c>
      <c r="T32" s="194">
        <f>+'Income Statement'!K32/'Income Statement'!$L$8</f>
        <v>5.2823322069944032E-3</v>
      </c>
      <c r="V32" s="194">
        <f>+'Income Statement'!M32/'Income Statement'!$N$8</f>
        <v>8.3931506541597804E-3</v>
      </c>
    </row>
    <row r="33" spans="1:22" x14ac:dyDescent="0.25">
      <c r="A33" s="84"/>
      <c r="B33" s="84"/>
      <c r="C33" s="120" t="s">
        <v>62</v>
      </c>
      <c r="D33" s="98"/>
      <c r="E33" s="120">
        <f>VLOOKUP(C33,'Trial Balance'!A:D,2,FALSE)</f>
        <v>38639554</v>
      </c>
      <c r="F33" s="98"/>
      <c r="G33" s="144">
        <f>VLOOKUP(C33,'Trial Balance'!A:D,3,FALSE)</f>
        <v>532425</v>
      </c>
      <c r="H33" s="98"/>
      <c r="I33" s="120">
        <f>VLOOKUP(C33,'Trial Balance'!A:D,4,FALSE)</f>
        <v>3080313</v>
      </c>
      <c r="J33" s="98"/>
      <c r="K33" s="181">
        <f t="shared" si="2"/>
        <v>-38107129</v>
      </c>
      <c r="L33" s="183">
        <f t="shared" si="5"/>
        <v>-0.98622072604668265</v>
      </c>
      <c r="M33" s="181">
        <f t="shared" si="3"/>
        <v>2547888</v>
      </c>
      <c r="N33" s="189">
        <f t="shared" si="4"/>
        <v>0.82715230562608411</v>
      </c>
      <c r="P33" s="121" t="s">
        <v>62</v>
      </c>
      <c r="Q33" s="128"/>
      <c r="R33" s="204">
        <f>+'Income Statement'!I33/'Income Statement'!$J$8</f>
        <v>0.12790565977458507</v>
      </c>
      <c r="T33" s="194">
        <f>+'Income Statement'!K33/'Income Statement'!$L$8</f>
        <v>2.0524710954014239E-3</v>
      </c>
      <c r="V33" s="194">
        <f>+'Income Statement'!M33/'Income Statement'!$N$8</f>
        <v>1.159031525878149E-2</v>
      </c>
    </row>
    <row r="34" spans="1:22" x14ac:dyDescent="0.25">
      <c r="A34" s="84"/>
      <c r="B34" s="84"/>
      <c r="C34" s="120" t="s">
        <v>45</v>
      </c>
      <c r="D34" s="98"/>
      <c r="E34" s="120">
        <f>VLOOKUP(C34,'Trial Balance'!A:D,2,FALSE)</f>
        <v>21094132</v>
      </c>
      <c r="F34" s="98"/>
      <c r="G34" s="144">
        <f>VLOOKUP(C34,'Trial Balance'!A:D,3,FALSE)</f>
        <v>18344399</v>
      </c>
      <c r="H34" s="98"/>
      <c r="I34" s="120">
        <f>VLOOKUP(C34,'Trial Balance'!A:D,4,FALSE)</f>
        <v>19706506</v>
      </c>
      <c r="J34" s="98"/>
      <c r="K34" s="181">
        <f t="shared" si="2"/>
        <v>-2749733</v>
      </c>
      <c r="L34" s="183">
        <f t="shared" si="5"/>
        <v>-0.13035535190544933</v>
      </c>
      <c r="M34" s="181">
        <f t="shared" si="3"/>
        <v>1362107</v>
      </c>
      <c r="N34" s="189">
        <f t="shared" si="4"/>
        <v>6.9119660278691722E-2</v>
      </c>
      <c r="P34" s="121" t="s">
        <v>45</v>
      </c>
      <c r="Q34" s="128"/>
      <c r="R34" s="194">
        <f>+'Income Statement'!I34/'Income Statement'!$J$8</f>
        <v>6.9826346102032838E-2</v>
      </c>
      <c r="T34" s="194">
        <f>+'Income Statement'!K34/'Income Statement'!$L$8</f>
        <v>7.0716718242026175E-2</v>
      </c>
      <c r="V34" s="194">
        <f>+'Income Statement'!M34/'Income Statement'!$N$8</f>
        <v>7.4149807889350522E-2</v>
      </c>
    </row>
    <row r="35" spans="1:22" x14ac:dyDescent="0.25">
      <c r="A35" s="84"/>
      <c r="B35" s="84"/>
      <c r="C35" s="120" t="s">
        <v>84</v>
      </c>
      <c r="D35" s="98"/>
      <c r="E35" s="120">
        <v>0</v>
      </c>
      <c r="F35" s="98"/>
      <c r="G35" s="144">
        <f>VLOOKUP(C35,'Trial Balance'!A:D,3,FALSE)</f>
        <v>504000</v>
      </c>
      <c r="H35" s="98"/>
      <c r="I35" s="120">
        <f>VLOOKUP(C35,'Trial Balance'!A:D,4,FALSE)</f>
        <v>459000</v>
      </c>
      <c r="J35" s="98"/>
      <c r="K35" s="181">
        <f>G35-E35</f>
        <v>504000</v>
      </c>
      <c r="L35" s="183">
        <v>0</v>
      </c>
      <c r="M35" s="181">
        <f>I35-G35</f>
        <v>-45000</v>
      </c>
      <c r="N35" s="189">
        <f>M35/I35</f>
        <v>-9.8039215686274508E-2</v>
      </c>
      <c r="P35" s="121" t="s">
        <v>84</v>
      </c>
      <c r="Q35" s="128"/>
      <c r="R35" s="194">
        <f>+'Income Statement'!I35/'Income Statement'!$J$8</f>
        <v>0</v>
      </c>
      <c r="T35" s="194">
        <f>+'Income Statement'!K35/'Income Statement'!$L$8</f>
        <v>1.9428941767992067E-3</v>
      </c>
      <c r="V35" s="194">
        <f>+'Income Statement'!M35/'Income Statement'!$N$8</f>
        <v>1.7270825087517742E-3</v>
      </c>
    </row>
    <row r="36" spans="1:22" x14ac:dyDescent="0.25">
      <c r="A36" s="84"/>
      <c r="B36" s="84"/>
      <c r="C36" s="202" t="s">
        <v>85</v>
      </c>
      <c r="D36" s="98"/>
      <c r="E36" s="145"/>
      <c r="F36" s="98">
        <f>SUM(E15:E36)</f>
        <v>90996701</v>
      </c>
      <c r="G36" s="198"/>
      <c r="H36" s="98">
        <f>SUM(G15:G35)</f>
        <v>58594124</v>
      </c>
      <c r="I36" s="156">
        <v>0</v>
      </c>
      <c r="J36" s="98">
        <f>SUM(I15:I36)</f>
        <v>67702065</v>
      </c>
      <c r="K36" s="182">
        <f t="shared" ref="K36:K37" si="6">H36-F36</f>
        <v>-32402577</v>
      </c>
      <c r="L36" s="183">
        <f>K36/F36</f>
        <v>-0.35608518379144316</v>
      </c>
      <c r="M36" s="182">
        <f>J36-H36</f>
        <v>9107941</v>
      </c>
      <c r="N36" s="208">
        <f t="shared" ref="N36:N37" si="7">M36/H36</f>
        <v>0.15544120089584409</v>
      </c>
      <c r="P36" s="141" t="s">
        <v>85</v>
      </c>
      <c r="Q36" s="128"/>
      <c r="R36" s="192">
        <f>SUM(R15:R35)</f>
        <v>0.30121965379609827</v>
      </c>
      <c r="T36" s="192">
        <f t="shared" ref="T36:V36" si="8">SUM(T15:T35)</f>
        <v>0.2258773458616084</v>
      </c>
      <c r="U36" s="194"/>
      <c r="V36" s="192">
        <f t="shared" si="8"/>
        <v>0.25474303326334569</v>
      </c>
    </row>
    <row r="37" spans="1:22" x14ac:dyDescent="0.25">
      <c r="A37" s="84"/>
      <c r="B37" s="84"/>
      <c r="C37" s="98"/>
      <c r="D37" s="199" t="s">
        <v>86</v>
      </c>
      <c r="E37" s="200"/>
      <c r="F37" s="200">
        <f>F13-F36</f>
        <v>34136031</v>
      </c>
      <c r="G37" s="98"/>
      <c r="H37" s="200">
        <f>H13-H36</f>
        <v>39782715</v>
      </c>
      <c r="I37" s="98"/>
      <c r="J37" s="200">
        <f>J13-J36</f>
        <v>18960797.472200006</v>
      </c>
      <c r="K37" s="185">
        <f t="shared" si="6"/>
        <v>5646684</v>
      </c>
      <c r="L37" s="186">
        <f t="shared" ref="L37" si="9">K37/F37</f>
        <v>0.16541712186750709</v>
      </c>
      <c r="M37" s="185">
        <f>J37-H37</f>
        <v>-20821917.527799994</v>
      </c>
      <c r="N37" s="189">
        <f t="shared" si="7"/>
        <v>-0.52339106387786738</v>
      </c>
      <c r="P37" s="128"/>
      <c r="Q37" s="193" t="s">
        <v>86</v>
      </c>
      <c r="R37" s="176">
        <f>+R13-R36</f>
        <v>0.11299798044099285</v>
      </c>
      <c r="S37" s="168"/>
      <c r="T37" s="176">
        <f>+T13-T36</f>
        <v>0.15336032799754457</v>
      </c>
      <c r="V37" s="171">
        <f>+V13-V36</f>
        <v>7.1343925198739666E-2</v>
      </c>
    </row>
    <row r="38" spans="1:22" x14ac:dyDescent="0.25">
      <c r="A38" s="84"/>
      <c r="B38" s="84"/>
      <c r="C38" s="195" t="s">
        <v>87</v>
      </c>
      <c r="D38" s="98"/>
      <c r="E38" s="98"/>
      <c r="F38" s="203"/>
      <c r="G38" s="98"/>
      <c r="H38" s="98"/>
      <c r="I38" s="98"/>
      <c r="J38" s="98"/>
      <c r="K38" s="182"/>
      <c r="L38" s="183"/>
      <c r="M38" s="182"/>
      <c r="N38" s="183"/>
      <c r="P38" s="131" t="s">
        <v>87</v>
      </c>
      <c r="Q38" s="128"/>
      <c r="R38" s="171"/>
    </row>
    <row r="39" spans="1:22" x14ac:dyDescent="0.25">
      <c r="A39" s="84"/>
      <c r="B39" s="84"/>
      <c r="C39" s="120" t="s">
        <v>41</v>
      </c>
      <c r="D39" s="98"/>
      <c r="E39" s="120">
        <f>VLOOKUP(C39,'Trial Balance'!A:D,2,FALSE)</f>
        <v>-665079</v>
      </c>
      <c r="F39" s="98"/>
      <c r="G39" s="144">
        <f>VLOOKUP(C39,'Trial Balance'!A:D,3,FALSE)</f>
        <v>-658672</v>
      </c>
      <c r="H39" s="98"/>
      <c r="I39" s="144">
        <f>VLOOKUP(C39,'Trial Balance'!A:D,4,FALSE)</f>
        <v>-549387</v>
      </c>
      <c r="J39" s="98"/>
      <c r="K39" s="187">
        <f>G39-E39</f>
        <v>6407</v>
      </c>
      <c r="L39" s="188">
        <f>K39/E39</f>
        <v>-9.6334420422235553E-3</v>
      </c>
      <c r="M39" s="187">
        <f>I39-G39</f>
        <v>109285</v>
      </c>
      <c r="N39" s="188">
        <f>M39/I39</f>
        <v>-0.19892170728466455</v>
      </c>
      <c r="P39" s="120" t="s">
        <v>41</v>
      </c>
      <c r="Q39" s="98"/>
      <c r="R39" s="171">
        <f>+'Income Statement'!I39/'Income Statement'!$J$8</f>
        <v>-2.2015618580178554E-3</v>
      </c>
      <c r="T39" s="171">
        <f>+'Income Statement'!K39/'Income Statement'!L8</f>
        <v>-2.5391468119458078E-3</v>
      </c>
      <c r="V39" s="171">
        <f>+'Income Statement'!M39/'Income Statement'!N8</f>
        <v>-2.0671823055242069E-3</v>
      </c>
    </row>
    <row r="40" spans="1:22" x14ac:dyDescent="0.25">
      <c r="A40" s="84"/>
      <c r="B40" s="84"/>
      <c r="C40" s="120" t="s">
        <v>43</v>
      </c>
      <c r="D40" s="98"/>
      <c r="E40" s="145">
        <f>E38+E33+E24</f>
        <v>39706982</v>
      </c>
      <c r="F40" s="120">
        <f>SUM(E39:E40)</f>
        <v>39041903</v>
      </c>
      <c r="G40" s="145">
        <f>VLOOKUP(C40,'Trial Balance'!A:D,3,FALSE)</f>
        <v>-147707</v>
      </c>
      <c r="H40" s="120">
        <f>SUM(G39:G40)</f>
        <v>-806379</v>
      </c>
      <c r="I40" s="145">
        <f>VLOOKUP(C40,'Trial Balance'!A:D,4,FALSE)</f>
        <v>-142168</v>
      </c>
      <c r="J40" s="120">
        <f>SUM(I39:I40)</f>
        <v>-691555</v>
      </c>
      <c r="K40" s="187">
        <f>G40-E40</f>
        <v>-39854689</v>
      </c>
      <c r="L40" s="188">
        <f>K40/E40</f>
        <v>-1.0037199251255107</v>
      </c>
      <c r="M40" s="187">
        <f>I40-G40</f>
        <v>5539</v>
      </c>
      <c r="N40" s="188">
        <f>M40/I40</f>
        <v>-3.8960947611276803E-2</v>
      </c>
      <c r="P40" s="121" t="s">
        <v>43</v>
      </c>
      <c r="Q40" s="128"/>
      <c r="R40" s="176">
        <f>+'Income Statement'!I40/'Income Statement'!J8</f>
        <v>0.1314390877898739</v>
      </c>
      <c r="T40" s="171">
        <f>+'Income Statement'!K40/'Income Statement'!L8</f>
        <v>-5.6940291700888972E-4</v>
      </c>
      <c r="V40" s="171">
        <f>+'Income Statement'!M40/'Income Statement'!N8</f>
        <v>-5.3493652746017923E-4</v>
      </c>
    </row>
    <row r="41" spans="1:22" x14ac:dyDescent="0.25">
      <c r="A41" s="84"/>
      <c r="B41" s="84"/>
      <c r="C41" s="202" t="s">
        <v>88</v>
      </c>
      <c r="D41" s="98"/>
      <c r="E41" s="144"/>
      <c r="F41" s="120"/>
      <c r="G41" s="144"/>
      <c r="H41" s="120"/>
      <c r="I41" s="144"/>
      <c r="J41" s="120"/>
      <c r="K41" s="182"/>
      <c r="L41" s="183"/>
      <c r="M41" s="182"/>
      <c r="N41" s="183"/>
      <c r="P41" s="141" t="s">
        <v>88</v>
      </c>
      <c r="Q41" s="128"/>
      <c r="R41" s="171"/>
    </row>
    <row r="42" spans="1:22" x14ac:dyDescent="0.25">
      <c r="A42" s="84"/>
      <c r="B42" s="84"/>
      <c r="C42" s="79" t="s">
        <v>42</v>
      </c>
      <c r="D42" s="98"/>
      <c r="E42" s="145">
        <f>VLOOKUP(C42,'Trial Balance'!A:D,2,FALSE)</f>
        <v>64288</v>
      </c>
      <c r="F42" s="144">
        <f t="shared" ref="F42" si="10">SUM(E41:E42)</f>
        <v>64288</v>
      </c>
      <c r="G42" s="145">
        <f>VLOOKUP(C42,'Trial Balance'!A:D,3,FALSE)</f>
        <v>85514</v>
      </c>
      <c r="H42" s="120">
        <f t="shared" ref="H42" si="11">SUM(G41:G42)</f>
        <v>85514</v>
      </c>
      <c r="I42" s="145">
        <f>VLOOKUP(C42,'Trial Balance'!A:D,4,FALSE)</f>
        <v>-128725</v>
      </c>
      <c r="J42" s="120">
        <f t="shared" ref="J42" si="12">SUM(I41:I42)</f>
        <v>-128725</v>
      </c>
      <c r="K42" s="187">
        <f>H42-F42</f>
        <v>21226</v>
      </c>
      <c r="L42" s="188">
        <f t="shared" ref="L42" si="13">K42/F42</f>
        <v>0.33017048282727723</v>
      </c>
      <c r="M42" s="187">
        <f t="shared" ref="M42" si="14">J42-H42</f>
        <v>-214239</v>
      </c>
      <c r="N42" s="188">
        <f t="shared" ref="N42" si="15">M42/H42</f>
        <v>-2.5053090721987044</v>
      </c>
      <c r="P42" s="78" t="s">
        <v>42</v>
      </c>
      <c r="Q42" s="128"/>
      <c r="R42" s="171">
        <f>+'Income Statement'!I42/'Income Statement'!J8</f>
        <v>2.1280781490357067E-4</v>
      </c>
      <c r="T42" s="171">
        <f>+'Income Statement'!K42/'Income Statement'!L8</f>
        <v>3.2965208856112571E-4</v>
      </c>
      <c r="V42" s="171">
        <f>+'Income Statement'!M42/'Income Statement'!N8</f>
        <v>-4.8435445738359941E-4</v>
      </c>
    </row>
    <row r="43" spans="1:22" x14ac:dyDescent="0.25">
      <c r="A43" s="84"/>
      <c r="B43" s="84"/>
      <c r="C43" s="195" t="s">
        <v>89</v>
      </c>
      <c r="D43" s="98"/>
      <c r="E43" s="98"/>
      <c r="F43" s="98"/>
      <c r="G43" s="98"/>
      <c r="H43" s="98"/>
      <c r="I43" s="98"/>
      <c r="J43" s="98"/>
      <c r="K43" s="187"/>
      <c r="L43" s="188"/>
      <c r="M43" s="187"/>
      <c r="N43" s="188"/>
      <c r="P43" s="131" t="s">
        <v>89</v>
      </c>
      <c r="Q43" s="128"/>
      <c r="R43" s="171"/>
    </row>
    <row r="44" spans="1:22" x14ac:dyDescent="0.25">
      <c r="A44" s="84"/>
      <c r="B44" s="84"/>
      <c r="C44" s="98" t="s">
        <v>66</v>
      </c>
      <c r="D44" s="98"/>
      <c r="E44" s="98"/>
      <c r="F44" s="120">
        <f>+'Trial Balance'!B68</f>
        <v>1093750</v>
      </c>
      <c r="G44" s="98"/>
      <c r="H44" s="120">
        <f>+'Trial Balance'!C68</f>
        <v>3373056</v>
      </c>
      <c r="I44" s="98"/>
      <c r="J44" s="120">
        <f>+'Trial Balance'!D68</f>
        <v>2942147</v>
      </c>
      <c r="K44" s="187">
        <f t="shared" ref="K44" si="16">H44-F44</f>
        <v>2279306</v>
      </c>
      <c r="L44" s="188">
        <f t="shared" ref="L44" si="17">K44/F44</f>
        <v>2.0839369142857143</v>
      </c>
      <c r="M44" s="187">
        <f t="shared" ref="M44" si="18">J44-H44</f>
        <v>-430909</v>
      </c>
      <c r="N44" s="188">
        <f>M44/H44</f>
        <v>-0.1277503249278992</v>
      </c>
      <c r="P44" s="128" t="s">
        <v>66</v>
      </c>
      <c r="Q44" s="128"/>
      <c r="R44" s="171">
        <f>+'Income Statement'!J44/'Income Statement'!J8</f>
        <v>3.6205597864419556E-3</v>
      </c>
      <c r="T44" s="171">
        <f>+'Income Statement'!L44/'Income Statement'!L8</f>
        <v>1.3002958056384177E-2</v>
      </c>
      <c r="V44" s="171">
        <f>+'Income Statement'!N44/'Income Statement'!N8</f>
        <v>1.1070437084698272E-2</v>
      </c>
    </row>
    <row r="45" spans="1:22" x14ac:dyDescent="0.25">
      <c r="A45" s="84"/>
      <c r="B45" s="84"/>
      <c r="C45" s="98" t="s">
        <v>69</v>
      </c>
      <c r="D45" s="98"/>
      <c r="E45" s="98"/>
      <c r="F45" s="120">
        <v>23965000</v>
      </c>
      <c r="G45" s="98"/>
      <c r="H45" s="120">
        <v>0</v>
      </c>
      <c r="I45" s="98"/>
      <c r="J45" s="120">
        <v>0</v>
      </c>
      <c r="K45" s="187">
        <f t="shared" ref="K45:K52" si="19">H45-F45</f>
        <v>-23965000</v>
      </c>
      <c r="L45" s="188">
        <f t="shared" ref="L45:L52" si="20">K45/F45</f>
        <v>-1</v>
      </c>
      <c r="M45" s="187">
        <f t="shared" si="1"/>
        <v>0</v>
      </c>
      <c r="N45" s="188">
        <v>0</v>
      </c>
      <c r="P45" s="128" t="s">
        <v>69</v>
      </c>
      <c r="Q45" s="128"/>
      <c r="R45" s="171">
        <f>+'Income Statement'!J45/'Income Statement'!J8</f>
        <v>7.9329568257903049E-2</v>
      </c>
      <c r="T45" s="171">
        <f>+'Income Statement'!L45/'Income Statement'!L8</f>
        <v>0</v>
      </c>
      <c r="V45" s="171">
        <f>+'Income Statement'!N45/'Income Statement'!N8</f>
        <v>0</v>
      </c>
    </row>
    <row r="46" spans="1:22" x14ac:dyDescent="0.25">
      <c r="A46" s="84"/>
      <c r="B46" s="84"/>
      <c r="C46" s="195" t="s">
        <v>90</v>
      </c>
      <c r="D46" s="98"/>
      <c r="E46" s="98"/>
      <c r="F46" s="200">
        <f>F37-F40-F42-F44-F45</f>
        <v>-30028910</v>
      </c>
      <c r="G46" s="98"/>
      <c r="H46" s="200">
        <f>H37-H40-H42-H44</f>
        <v>37130524</v>
      </c>
      <c r="I46" s="98"/>
      <c r="J46" s="200">
        <f>J37-J40-J42-J44</f>
        <v>16838930.472200006</v>
      </c>
      <c r="K46" s="182">
        <f t="shared" si="19"/>
        <v>67159434</v>
      </c>
      <c r="L46" s="183">
        <f t="shared" si="20"/>
        <v>-2.2364925666632587</v>
      </c>
      <c r="M46" s="182">
        <f t="shared" si="1"/>
        <v>-20291593.527799994</v>
      </c>
      <c r="N46" s="183">
        <f t="shared" si="0"/>
        <v>-0.54649359453693658</v>
      </c>
      <c r="P46" s="131" t="s">
        <v>90</v>
      </c>
      <c r="Q46" s="128"/>
      <c r="R46" s="192">
        <f>R37-R39-R40-R42-R44-R45</f>
        <v>-9.940248135011176E-2</v>
      </c>
      <c r="T46" s="205">
        <f>T37-T39-T40-T42-T44-T45</f>
        <v>0.14313626758155396</v>
      </c>
      <c r="V46" s="192">
        <f>V37-V39-V40-V42-V44-V45</f>
        <v>6.335996140440936E-2</v>
      </c>
    </row>
    <row r="47" spans="1:22" x14ac:dyDescent="0.25">
      <c r="A47" s="84"/>
      <c r="B47" s="84"/>
      <c r="C47" s="98" t="s">
        <v>91</v>
      </c>
      <c r="D47" s="98"/>
      <c r="E47" s="98"/>
      <c r="F47" s="98"/>
      <c r="G47" s="98"/>
      <c r="H47" s="98"/>
      <c r="I47" s="98"/>
      <c r="J47" s="98"/>
      <c r="K47" s="182"/>
      <c r="L47" s="183"/>
      <c r="M47" s="182"/>
      <c r="N47" s="183"/>
      <c r="P47" s="128" t="s">
        <v>91</v>
      </c>
      <c r="Q47" s="128"/>
      <c r="R47" s="171"/>
    </row>
    <row r="48" spans="1:22" x14ac:dyDescent="0.25">
      <c r="A48" s="84"/>
      <c r="B48" s="84"/>
      <c r="C48" s="120" t="s">
        <v>67</v>
      </c>
      <c r="D48" s="98"/>
      <c r="E48" s="144">
        <f>VLOOKUP(C48,'Trial Balance'!A:D,2,FALSE)</f>
        <v>2956250</v>
      </c>
      <c r="F48" s="98"/>
      <c r="G48" s="144">
        <f>VLOOKUP(C48,'Trial Balance'!A:D,3,FALSE)</f>
        <v>14142240</v>
      </c>
      <c r="H48" s="98"/>
      <c r="I48" s="120">
        <v>7269540</v>
      </c>
      <c r="J48" s="98"/>
      <c r="K48" s="187">
        <f>G48-E48</f>
        <v>11185990</v>
      </c>
      <c r="L48" s="188">
        <f>K48/G48</f>
        <v>0.79096310061206709</v>
      </c>
      <c r="M48" s="187">
        <f>I48-G48</f>
        <v>-6872700</v>
      </c>
      <c r="N48" s="188">
        <f>M48/I48</f>
        <v>-0.94541057618501312</v>
      </c>
      <c r="P48" s="121" t="s">
        <v>67</v>
      </c>
      <c r="Q48" s="128"/>
      <c r="R48" s="171">
        <f>+'Income Statement'!I48/'Income Statement'!J8</f>
        <v>9.7858558799259702E-3</v>
      </c>
      <c r="T48" s="171">
        <f>+'Income Statement'!K48/'Income Statement'!L8</f>
        <v>5.4517610600985741E-2</v>
      </c>
      <c r="U48" s="171"/>
      <c r="V48" s="171">
        <f>+'Income Statement'!M48/'Income Statement'!N8</f>
        <v>2.7353148977497545E-2</v>
      </c>
    </row>
    <row r="49" spans="1:22" x14ac:dyDescent="0.25">
      <c r="A49" s="84"/>
      <c r="B49" s="84"/>
      <c r="C49" s="120" t="s">
        <v>68</v>
      </c>
      <c r="D49" s="98"/>
      <c r="E49" s="145">
        <f>VLOOKUP(C49,'Trial Balance'!A:D,2,FALSE)</f>
        <v>536250</v>
      </c>
      <c r="F49" s="98">
        <f>SUM(E48:E49)</f>
        <v>3492500</v>
      </c>
      <c r="G49" s="145">
        <f>VLOOKUP(C49,'Trial Balance'!A:D,3,FALSE)</f>
        <v>2503200</v>
      </c>
      <c r="H49" s="98">
        <f>SUM(G48:G49)</f>
        <v>16645440</v>
      </c>
      <c r="I49" s="145">
        <v>1258000</v>
      </c>
      <c r="J49" s="98">
        <f>SUM(I48:I49)</f>
        <v>8527540</v>
      </c>
      <c r="K49" s="187">
        <f>G49-E49</f>
        <v>1966950</v>
      </c>
      <c r="L49" s="188">
        <f>K49/G49</f>
        <v>0.78577420901246409</v>
      </c>
      <c r="M49" s="187">
        <f>I49-G49</f>
        <v>-1245200</v>
      </c>
      <c r="N49" s="188">
        <f>M49/I49</f>
        <v>-0.98982511923688399</v>
      </c>
      <c r="P49" s="121" t="s">
        <v>68</v>
      </c>
      <c r="Q49" s="128"/>
      <c r="R49" s="172">
        <f>+'Income Statement'!I49/'Income Statement'!J8</f>
        <v>1.7751087410098274E-3</v>
      </c>
      <c r="T49" s="172">
        <f>+'Income Statement'!K49/'Income Statement'!L8</f>
        <v>9.6497077447693941E-3</v>
      </c>
      <c r="U49" s="171"/>
      <c r="V49" s="172">
        <f>+'Income Statement'!M49/'Income Statement'!N8</f>
        <v>4.7334853943567148E-3</v>
      </c>
    </row>
    <row r="50" spans="1:22" ht="15.75" thickBot="1" x14ac:dyDescent="0.3">
      <c r="A50" s="84"/>
      <c r="B50" s="84"/>
      <c r="C50" s="98"/>
      <c r="D50" s="195" t="s">
        <v>92</v>
      </c>
      <c r="E50" s="98"/>
      <c r="F50" s="112">
        <f>F46-F49</f>
        <v>-33521410</v>
      </c>
      <c r="G50" s="98"/>
      <c r="H50" s="112">
        <f>H46-H49</f>
        <v>20485084</v>
      </c>
      <c r="I50" s="98"/>
      <c r="J50" s="112">
        <f>J46-J49</f>
        <v>8311390.4722000062</v>
      </c>
      <c r="K50" s="190">
        <f>H50-F50</f>
        <v>54006494</v>
      </c>
      <c r="L50" s="191">
        <f>K50/F50</f>
        <v>-1.6111044851633627</v>
      </c>
      <c r="M50" s="190">
        <f>J50-H50</f>
        <v>-12173693.527799994</v>
      </c>
      <c r="N50" s="191">
        <f t="shared" si="0"/>
        <v>-0.59427110612775591</v>
      </c>
      <c r="P50" s="128"/>
      <c r="Q50" s="206" t="s">
        <v>92</v>
      </c>
      <c r="R50" s="171">
        <f>+R46-R48-R49</f>
        <v>-0.11096344597104757</v>
      </c>
      <c r="T50" s="171">
        <f>+T46-T48-T49</f>
        <v>7.8968949235798822E-2</v>
      </c>
      <c r="V50" s="171">
        <f>+V46-V48-V49</f>
        <v>3.1273327032555094E-2</v>
      </c>
    </row>
    <row r="51" spans="1:22" ht="15.75" thickTop="1" x14ac:dyDescent="0.25">
      <c r="C51" s="128"/>
      <c r="D51" s="131" t="s">
        <v>93</v>
      </c>
      <c r="E51" s="128"/>
      <c r="F51" s="128">
        <f>F50/F52</f>
        <v>-4.0509256797583078</v>
      </c>
      <c r="G51" s="128"/>
      <c r="H51" s="128">
        <f>H50/H52</f>
        <v>2.475538851963746</v>
      </c>
      <c r="I51" s="128"/>
      <c r="J51" s="128">
        <f>J50/J52</f>
        <v>1.0043976401450159</v>
      </c>
      <c r="K51" s="182">
        <f>H51-F51</f>
        <v>6.5264645317220538</v>
      </c>
      <c r="L51" s="183">
        <f t="shared" si="20"/>
        <v>-1.6111044851633627</v>
      </c>
      <c r="M51" s="182">
        <f t="shared" si="1"/>
        <v>-1.4711412118187301</v>
      </c>
      <c r="N51" s="183">
        <f t="shared" si="0"/>
        <v>-0.5942711061277558</v>
      </c>
      <c r="P51" s="128"/>
      <c r="Q51" s="131"/>
      <c r="R51" s="171"/>
    </row>
    <row r="52" spans="1:22" x14ac:dyDescent="0.25">
      <c r="C52" s="128"/>
      <c r="D52" s="128" t="s">
        <v>94</v>
      </c>
      <c r="E52" s="128"/>
      <c r="F52" s="128">
        <v>8275000</v>
      </c>
      <c r="G52" s="128"/>
      <c r="H52" s="128">
        <v>8275000</v>
      </c>
      <c r="I52" s="128"/>
      <c r="J52" s="128">
        <v>8275000</v>
      </c>
      <c r="K52" s="182">
        <f t="shared" si="19"/>
        <v>0</v>
      </c>
      <c r="L52" s="183">
        <f t="shared" si="20"/>
        <v>0</v>
      </c>
      <c r="M52" s="182">
        <f t="shared" si="1"/>
        <v>0</v>
      </c>
      <c r="N52" s="183">
        <f t="shared" si="0"/>
        <v>0</v>
      </c>
      <c r="P52" s="128"/>
      <c r="Q52" s="128"/>
      <c r="R52" s="171"/>
    </row>
    <row r="53" spans="1:22" x14ac:dyDescent="0.25">
      <c r="C53" s="128"/>
      <c r="D53" s="128"/>
      <c r="E53" s="128"/>
      <c r="F53" s="128"/>
      <c r="G53" s="128"/>
      <c r="H53" s="128"/>
      <c r="I53" s="128"/>
      <c r="J53" s="128"/>
      <c r="K53" s="128">
        <f>+F49-H49</f>
        <v>-13152940</v>
      </c>
      <c r="L53" s="188">
        <f>K53/F49</f>
        <v>-3.7660529706513959</v>
      </c>
      <c r="M53" s="152">
        <f>+H49-J49</f>
        <v>8117900</v>
      </c>
      <c r="N53" s="188">
        <f>M53/H49</f>
        <v>0.48769512851567759</v>
      </c>
      <c r="P53" s="128"/>
      <c r="Q53" s="128"/>
      <c r="R53" s="171"/>
    </row>
    <row r="54" spans="1:22" x14ac:dyDescent="0.25">
      <c r="C54" s="128"/>
      <c r="D54" s="128"/>
      <c r="E54" s="128"/>
      <c r="F54" s="128"/>
      <c r="G54" s="128"/>
      <c r="H54" s="128"/>
      <c r="I54" s="128"/>
      <c r="J54" s="128"/>
      <c r="K54" s="128"/>
    </row>
    <row r="55" spans="1:22" x14ac:dyDescent="0.25">
      <c r="C55" s="128"/>
      <c r="D55" s="128"/>
      <c r="E55" s="128"/>
      <c r="F55" s="128"/>
      <c r="G55" s="128"/>
      <c r="H55" s="128"/>
      <c r="I55" s="128"/>
      <c r="J55" s="128"/>
      <c r="K55" s="128"/>
    </row>
    <row r="56" spans="1:22" x14ac:dyDescent="0.25">
      <c r="C56" s="128"/>
      <c r="D56" s="128"/>
      <c r="E56" s="128"/>
      <c r="F56" s="128"/>
      <c r="G56" s="128"/>
      <c r="H56" s="128"/>
      <c r="I56" s="128"/>
      <c r="J56" s="128"/>
      <c r="K56" s="128"/>
    </row>
  </sheetData>
  <mergeCells count="14">
    <mergeCell ref="K3:L3"/>
    <mergeCell ref="M3:N3"/>
    <mergeCell ref="K4:L4"/>
    <mergeCell ref="M4:N4"/>
    <mergeCell ref="B2:J2"/>
    <mergeCell ref="A3:J3"/>
    <mergeCell ref="E4:F4"/>
    <mergeCell ref="G4:H4"/>
    <mergeCell ref="I4:J4"/>
    <mergeCell ref="P2:V2"/>
    <mergeCell ref="Q4:R4"/>
    <mergeCell ref="S4:T4"/>
    <mergeCell ref="U4:V4"/>
    <mergeCell ref="P3:V3"/>
  </mergeCells>
  <pageMargins left="0.7" right="0.7" top="0.75" bottom="0.75" header="0.3" footer="0.3"/>
  <pageSetup scale="67" orientation="landscape" horizontalDpi="4294967293" r:id="rId1"/>
  <rowBreaks count="2" manualBreakCount="2">
    <brk id="42" max="13" man="1"/>
    <brk id="53" max="9" man="1"/>
  </rowBreaks>
  <ignoredErrors>
    <ignoredError sqref="G7 I7 L8:M8 M12:M13 L37 L42:M42 L44:M46 L51:M52 L39:L40 M48 L50:M50 L12:L13 L15:L34 L36" formula="1"/>
    <ignoredError sqref="J12:J13 E15:E34 G15:G35 I15:I35 F36 E39:E40 G39 I39 E42:F42 H42 J42 E48:E49 G48 V46" emptyCellReference="1"/>
    <ignoredError sqref="G40 I40 G42 I42 G49" formula="1" emptyCellReferenc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9"/>
  <sheetViews>
    <sheetView showGridLines="0" view="pageBreakPreview" topLeftCell="E2" zoomScale="80" zoomScaleNormal="70" zoomScaleSheetLayoutView="80" workbookViewId="0">
      <selection activeCell="M19" sqref="M19"/>
    </sheetView>
  </sheetViews>
  <sheetFormatPr defaultColWidth="8.7109375" defaultRowHeight="15" x14ac:dyDescent="0.25"/>
  <cols>
    <col min="1" max="1" width="38.42578125" style="72" bestFit="1" customWidth="1"/>
    <col min="2" max="4" width="13.7109375" style="72" bestFit="1" customWidth="1"/>
    <col min="5" max="5" width="42.140625" style="72" bestFit="1" customWidth="1"/>
    <col min="6" max="6" width="11" style="164" customWidth="1"/>
    <col min="7" max="8" width="11" style="72" customWidth="1"/>
    <col min="9" max="9" width="38.140625" style="72" hidden="1" customWidth="1"/>
    <col min="10" max="10" width="13.140625" style="72" hidden="1" customWidth="1"/>
    <col min="11" max="11" width="10.140625" style="72" hidden="1" customWidth="1"/>
    <col min="12" max="12" width="8.7109375" style="72" hidden="1" customWidth="1"/>
    <col min="13" max="13" width="3.140625" style="72" customWidth="1"/>
    <col min="14" max="14" width="3.42578125" style="72" customWidth="1"/>
    <col min="15" max="15" width="42.140625" style="72" bestFit="1" customWidth="1"/>
    <col min="16" max="17" width="12.28515625" style="72" bestFit="1" customWidth="1"/>
    <col min="18" max="18" width="13" style="72" bestFit="1" customWidth="1"/>
    <col min="19" max="19" width="13.42578125" style="72" bestFit="1" customWidth="1"/>
    <col min="20" max="20" width="13" style="72" bestFit="1" customWidth="1"/>
    <col min="21" max="21" width="13.42578125" style="72" bestFit="1" customWidth="1"/>
    <col min="22" max="22" width="12.28515625" style="84" bestFit="1" customWidth="1"/>
    <col min="23" max="23" width="11.5703125" style="84" customWidth="1"/>
    <col min="24" max="24" width="14" style="84" customWidth="1"/>
    <col min="25" max="25" width="10.140625" style="84" customWidth="1"/>
    <col min="26" max="16384" width="8.7109375" style="72"/>
  </cols>
  <sheetData>
    <row r="1" spans="1:25" hidden="1" x14ac:dyDescent="0.25">
      <c r="E1" s="72" t="s">
        <v>202</v>
      </c>
    </row>
    <row r="2" spans="1:25" x14ac:dyDescent="0.25">
      <c r="A2" s="215" t="s">
        <v>0</v>
      </c>
      <c r="B2" s="215"/>
      <c r="C2" s="215"/>
      <c r="D2" s="215"/>
      <c r="E2" s="215"/>
      <c r="F2" s="215"/>
      <c r="G2" s="215"/>
      <c r="H2" s="215"/>
      <c r="I2" s="75"/>
      <c r="J2" s="75"/>
      <c r="K2" s="75"/>
      <c r="L2" s="75"/>
      <c r="M2" s="75"/>
      <c r="O2" s="215" t="s">
        <v>0</v>
      </c>
      <c r="P2" s="215"/>
      <c r="Q2" s="215"/>
      <c r="R2" s="215"/>
      <c r="S2" s="215"/>
      <c r="T2" s="215"/>
      <c r="U2" s="215"/>
      <c r="V2" s="215"/>
      <c r="W2" s="215"/>
    </row>
    <row r="3" spans="1:25" x14ac:dyDescent="0.25">
      <c r="A3" s="215" t="s">
        <v>255</v>
      </c>
      <c r="B3" s="215"/>
      <c r="C3" s="215"/>
      <c r="D3" s="215"/>
      <c r="E3" s="215"/>
      <c r="F3" s="215"/>
      <c r="G3" s="215"/>
      <c r="H3" s="215"/>
      <c r="I3" s="75"/>
      <c r="J3" s="75"/>
      <c r="K3" s="75"/>
      <c r="L3" s="75"/>
      <c r="M3" s="75"/>
      <c r="O3" s="215" t="s">
        <v>258</v>
      </c>
      <c r="P3" s="215"/>
      <c r="Q3" s="215"/>
      <c r="R3" s="215"/>
      <c r="S3" s="215"/>
      <c r="T3" s="215"/>
      <c r="U3" s="215"/>
      <c r="V3" s="215"/>
      <c r="W3" s="215"/>
    </row>
    <row r="4" spans="1:25" x14ac:dyDescent="0.25">
      <c r="A4" s="228" t="s">
        <v>109</v>
      </c>
      <c r="B4" s="228"/>
      <c r="C4" s="228"/>
      <c r="D4" s="228"/>
      <c r="E4" s="228"/>
      <c r="F4" s="228"/>
      <c r="G4" s="228"/>
      <c r="H4" s="228"/>
      <c r="I4" s="207"/>
      <c r="J4" s="207"/>
      <c r="K4" s="207"/>
      <c r="L4" s="207"/>
      <c r="M4" s="207"/>
      <c r="O4" s="228" t="s">
        <v>109</v>
      </c>
      <c r="P4" s="228"/>
      <c r="Q4" s="228"/>
      <c r="R4" s="228"/>
      <c r="S4" s="228"/>
      <c r="T4" s="228"/>
      <c r="U4" s="228"/>
      <c r="V4" s="228"/>
      <c r="W4" s="228"/>
    </row>
    <row r="5" spans="1:25" x14ac:dyDescent="0.25">
      <c r="F5" s="169"/>
      <c r="G5" s="73"/>
      <c r="H5" s="73"/>
      <c r="I5" s="73"/>
      <c r="J5" s="73"/>
      <c r="K5" s="73"/>
      <c r="L5" s="73"/>
      <c r="M5" s="73"/>
      <c r="P5" s="214">
        <v>2013</v>
      </c>
      <c r="Q5" s="214"/>
      <c r="R5" s="215">
        <v>2014</v>
      </c>
      <c r="S5" s="215"/>
      <c r="T5" s="215">
        <v>2015</v>
      </c>
      <c r="U5" s="215"/>
      <c r="V5" s="225" t="s">
        <v>259</v>
      </c>
      <c r="W5" s="225"/>
      <c r="X5" s="225" t="s">
        <v>259</v>
      </c>
      <c r="Y5" s="225"/>
    </row>
    <row r="6" spans="1:25" x14ac:dyDescent="0.25">
      <c r="B6" s="168">
        <v>2013</v>
      </c>
      <c r="C6" s="168">
        <v>2014</v>
      </c>
      <c r="D6" s="168">
        <v>2015</v>
      </c>
      <c r="F6" s="75">
        <v>2013</v>
      </c>
      <c r="G6" s="75">
        <v>2014</v>
      </c>
      <c r="H6" s="73">
        <v>2015</v>
      </c>
      <c r="I6" s="73"/>
      <c r="J6" s="74">
        <v>2013</v>
      </c>
      <c r="K6" s="76">
        <v>2014</v>
      </c>
      <c r="L6" s="76">
        <v>2015</v>
      </c>
      <c r="M6" s="73"/>
      <c r="P6" s="71"/>
      <c r="Q6" s="71"/>
      <c r="R6" s="71"/>
      <c r="S6" s="71"/>
      <c r="T6" s="71"/>
      <c r="U6" s="71"/>
      <c r="V6" s="225" t="s">
        <v>260</v>
      </c>
      <c r="W6" s="225"/>
      <c r="X6" s="225" t="s">
        <v>261</v>
      </c>
      <c r="Y6" s="225"/>
    </row>
    <row r="7" spans="1:25" x14ac:dyDescent="0.25">
      <c r="A7" s="71" t="s">
        <v>110</v>
      </c>
      <c r="E7" s="71" t="s">
        <v>111</v>
      </c>
      <c r="I7" s="71" t="s">
        <v>110</v>
      </c>
      <c r="O7" s="71" t="s">
        <v>110</v>
      </c>
      <c r="P7" s="70"/>
      <c r="Q7" s="70"/>
      <c r="R7" s="70"/>
      <c r="S7" s="70"/>
      <c r="T7" s="70"/>
      <c r="U7" s="70"/>
      <c r="V7" s="177" t="s">
        <v>262</v>
      </c>
      <c r="W7" s="177" t="s">
        <v>263</v>
      </c>
      <c r="X7" s="177" t="s">
        <v>262</v>
      </c>
      <c r="Y7" s="177" t="s">
        <v>263</v>
      </c>
    </row>
    <row r="8" spans="1:25" x14ac:dyDescent="0.25">
      <c r="A8" s="71" t="s">
        <v>113</v>
      </c>
      <c r="E8" s="71" t="s">
        <v>114</v>
      </c>
      <c r="I8" s="71" t="s">
        <v>113</v>
      </c>
      <c r="O8" s="71" t="s">
        <v>113</v>
      </c>
      <c r="V8" s="178"/>
      <c r="W8" s="178"/>
      <c r="X8" s="178"/>
      <c r="Y8" s="178"/>
    </row>
    <row r="9" spans="1:25" x14ac:dyDescent="0.25">
      <c r="A9" s="77" t="s">
        <v>116</v>
      </c>
      <c r="E9" s="70" t="s">
        <v>20</v>
      </c>
      <c r="F9" s="171">
        <f>+'Balance Sheet'!P8/'Balance Sheet'!$P$43</f>
        <v>0.17829210336761808</v>
      </c>
      <c r="G9" s="171">
        <f>+'Balance Sheet'!R8/'Balance Sheet'!$R$43</f>
        <v>0.14658486469463577</v>
      </c>
      <c r="H9" s="171">
        <f>+'Balance Sheet'!T8/'Balance Sheet'!$T$43</f>
        <v>0.11013377527917269</v>
      </c>
      <c r="I9" s="77" t="s">
        <v>116</v>
      </c>
      <c r="O9" s="77" t="s">
        <v>116</v>
      </c>
      <c r="V9" s="178"/>
      <c r="W9" s="178"/>
      <c r="X9" s="178"/>
      <c r="Y9" s="178"/>
    </row>
    <row r="10" spans="1:25" x14ac:dyDescent="0.25">
      <c r="A10" s="70" t="s">
        <v>3</v>
      </c>
      <c r="B10" s="171">
        <f t="shared" ref="B10" si="0">J10</f>
        <v>4.9548915023910565E-5</v>
      </c>
      <c r="C10" s="171">
        <f t="shared" ref="C10" si="1">K10</f>
        <v>1.8495287684594237E-5</v>
      </c>
      <c r="D10" s="171">
        <f t="shared" ref="D10" si="2">L10</f>
        <v>2.1519997326359236E-5</v>
      </c>
      <c r="E10" s="70" t="s">
        <v>118</v>
      </c>
      <c r="F10" s="171">
        <f>+'Balance Sheet'!P9/'Balance Sheet'!$P$43</f>
        <v>0</v>
      </c>
      <c r="G10" s="171">
        <f>+'Balance Sheet'!R9/'Balance Sheet'!$R$43</f>
        <v>3.5374287195262589E-3</v>
      </c>
      <c r="H10" s="171">
        <f>+'Balance Sheet'!T9/'Balance Sheet'!$T$43</f>
        <v>4.8716011634716673E-3</v>
      </c>
      <c r="I10" s="70" t="s">
        <v>3</v>
      </c>
      <c r="J10" s="171">
        <f>+'Balance Sheet'!G8/'Balance Sheet'!H37</f>
        <v>4.9548915023910565E-5</v>
      </c>
      <c r="K10" s="171">
        <f>+'Balance Sheet'!I8/'Balance Sheet'!J37</f>
        <v>1.8495287684594237E-5</v>
      </c>
      <c r="L10" s="171">
        <f>+'Balance Sheet'!K8/'Balance Sheet'!L37</f>
        <v>2.1519997326359236E-5</v>
      </c>
      <c r="O10" s="70" t="s">
        <v>3</v>
      </c>
      <c r="P10" s="97">
        <v>2483</v>
      </c>
      <c r="Q10" s="97"/>
      <c r="R10" s="97">
        <v>2459</v>
      </c>
      <c r="S10" s="97"/>
      <c r="T10" s="97">
        <v>2511</v>
      </c>
      <c r="U10" s="70"/>
      <c r="V10" s="179">
        <f>R10-P10</f>
        <v>-24</v>
      </c>
      <c r="W10" s="180">
        <f t="shared" ref="W10:W12" si="3">V10/R10</f>
        <v>-9.7600650671004468E-3</v>
      </c>
      <c r="X10" s="179">
        <f>T10-R10</f>
        <v>52</v>
      </c>
      <c r="Y10" s="180">
        <f t="shared" ref="Y10:Y12" si="4">X10/T10</f>
        <v>2.0708880923934688E-2</v>
      </c>
    </row>
    <row r="11" spans="1:25" x14ac:dyDescent="0.25">
      <c r="A11" s="70" t="s">
        <v>6</v>
      </c>
      <c r="B11" s="171">
        <f t="shared" ref="B11:B13" si="5">J11</f>
        <v>0.13840394865820249</v>
      </c>
      <c r="C11" s="171">
        <f t="shared" ref="C11:C13" si="6">K11</f>
        <v>5.1523539124209872E-2</v>
      </c>
      <c r="D11" s="171">
        <f t="shared" ref="D11:D13" si="7">L11</f>
        <v>5.9811391597318582E-2</v>
      </c>
      <c r="E11" s="70"/>
      <c r="I11" s="70" t="s">
        <v>6</v>
      </c>
      <c r="J11" s="171">
        <f>+'Balance Sheet'!G9/'Balance Sheet'!H37</f>
        <v>0.13840394865820249</v>
      </c>
      <c r="K11" s="171">
        <f>+'Balance Sheet'!I9/'Balance Sheet'!J37</f>
        <v>5.1523539124209872E-2</v>
      </c>
      <c r="L11" s="171">
        <f>+'Balance Sheet'!K9/'Balance Sheet'!L37</f>
        <v>5.9811391597318582E-2</v>
      </c>
      <c r="O11" s="70" t="s">
        <v>6</v>
      </c>
      <c r="P11" s="97">
        <v>6935712</v>
      </c>
      <c r="Q11" s="97"/>
      <c r="R11" s="97">
        <v>6850198</v>
      </c>
      <c r="S11" s="97"/>
      <c r="T11" s="97">
        <v>6978923</v>
      </c>
      <c r="U11" s="70"/>
      <c r="V11" s="179">
        <f t="shared" ref="V11:V12" si="8">R11-P11</f>
        <v>-85514</v>
      </c>
      <c r="W11" s="180">
        <f t="shared" si="3"/>
        <v>-1.2483434785388684E-2</v>
      </c>
      <c r="X11" s="179">
        <f t="shared" ref="X11:X13" si="9">T11-R11</f>
        <v>128725</v>
      </c>
      <c r="Y11" s="180">
        <f t="shared" si="4"/>
        <v>1.8444823076569264E-2</v>
      </c>
    </row>
    <row r="12" spans="1:25" x14ac:dyDescent="0.25">
      <c r="A12" s="78" t="s">
        <v>4</v>
      </c>
      <c r="B12" s="171">
        <f t="shared" si="5"/>
        <v>4.9418407611805703E-3</v>
      </c>
      <c r="C12" s="171">
        <f t="shared" si="6"/>
        <v>1.9018631367837045E-3</v>
      </c>
      <c r="D12" s="171">
        <f t="shared" si="7"/>
        <v>2.0902250847950644E-3</v>
      </c>
      <c r="E12" s="77" t="s">
        <v>254</v>
      </c>
      <c r="I12" s="78" t="s">
        <v>4</v>
      </c>
      <c r="J12" s="171">
        <f>+'Balance Sheet'!G10/'Balance Sheet'!H37</f>
        <v>4.9418407611805703E-3</v>
      </c>
      <c r="K12" s="171">
        <f>+'Balance Sheet'!I10/'Balance Sheet'!J37</f>
        <v>1.9018631367837045E-3</v>
      </c>
      <c r="L12" s="171">
        <f>+'Balance Sheet'!K10/'Balance Sheet'!L37</f>
        <v>2.0902250847950644E-3</v>
      </c>
      <c r="O12" s="78" t="s">
        <v>4</v>
      </c>
      <c r="P12" s="97">
        <v>247646</v>
      </c>
      <c r="Q12" s="70"/>
      <c r="R12" s="97">
        <v>252858</v>
      </c>
      <c r="S12" s="70"/>
      <c r="T12" s="97">
        <v>243892</v>
      </c>
      <c r="U12" s="70"/>
      <c r="V12" s="179">
        <f t="shared" si="8"/>
        <v>5212</v>
      </c>
      <c r="W12" s="180">
        <f t="shared" si="3"/>
        <v>2.0612359506125968E-2</v>
      </c>
      <c r="X12" s="179">
        <f t="shared" si="9"/>
        <v>-8966</v>
      </c>
      <c r="Y12" s="180">
        <f t="shared" si="4"/>
        <v>-3.676217342102242E-2</v>
      </c>
    </row>
    <row r="13" spans="1:25" x14ac:dyDescent="0.25">
      <c r="A13" s="70" t="s">
        <v>5</v>
      </c>
      <c r="B13" s="171">
        <f t="shared" si="5"/>
        <v>1.6089688117921386E-2</v>
      </c>
      <c r="C13" s="171">
        <f t="shared" si="6"/>
        <v>7.3948131497654961E-3</v>
      </c>
      <c r="D13" s="171">
        <f t="shared" si="7"/>
        <v>1.0332024108625097E-2</v>
      </c>
      <c r="E13" s="79" t="s">
        <v>21</v>
      </c>
      <c r="F13" s="171">
        <f>+'Balance Sheet'!P10/'Balance Sheet'!$P$43</f>
        <v>7.3511193784430806E-4</v>
      </c>
      <c r="G13" s="171">
        <f>+'Balance Sheet'!R10/'Balance Sheet'!$R$43</f>
        <v>1.989525830542023E-3</v>
      </c>
      <c r="H13" s="171">
        <f>+'Balance Sheet'!T10/'Balance Sheet'!T43</f>
        <v>1.7002083377416761E-3</v>
      </c>
      <c r="I13" s="70" t="s">
        <v>5</v>
      </c>
      <c r="J13" s="171">
        <f>+'Balance Sheet'!G11/'Balance Sheet'!H37</f>
        <v>1.6089688117921386E-2</v>
      </c>
      <c r="K13" s="171">
        <f>+'Balance Sheet'!I11/'Balance Sheet'!J37</f>
        <v>7.3948131497654961E-3</v>
      </c>
      <c r="L13" s="171">
        <f>+'Balance Sheet'!K11/'Balance Sheet'!L37</f>
        <v>1.0332024108625097E-2</v>
      </c>
      <c r="O13" s="70" t="s">
        <v>5</v>
      </c>
      <c r="P13" s="156">
        <v>806288</v>
      </c>
      <c r="Q13" s="107">
        <f>SUM(P10:P13)</f>
        <v>7992129</v>
      </c>
      <c r="R13" s="156">
        <v>983161</v>
      </c>
      <c r="S13" s="107">
        <f>SUM(R10:R13)</f>
        <v>8088676</v>
      </c>
      <c r="T13" s="156">
        <v>1205563</v>
      </c>
      <c r="U13" s="107">
        <f>SUM(T10:T13)</f>
        <v>8430889</v>
      </c>
      <c r="V13" s="179">
        <f>R13-P13</f>
        <v>176873</v>
      </c>
      <c r="W13" s="180">
        <f>V13/R13</f>
        <v>0.17990237611133883</v>
      </c>
      <c r="X13" s="179">
        <f t="shared" si="9"/>
        <v>222402</v>
      </c>
      <c r="Y13" s="180">
        <f>X13/T13</f>
        <v>0.18447978247507596</v>
      </c>
    </row>
    <row r="14" spans="1:25" x14ac:dyDescent="0.25">
      <c r="A14" s="70"/>
      <c r="B14" s="171"/>
      <c r="C14" s="171"/>
      <c r="D14" s="171"/>
      <c r="E14" s="80" t="s">
        <v>119</v>
      </c>
      <c r="I14" s="70"/>
      <c r="J14" s="171"/>
      <c r="K14" s="171"/>
      <c r="L14" s="171"/>
      <c r="O14" s="70"/>
      <c r="V14" s="178"/>
      <c r="W14" s="178"/>
      <c r="X14" s="178"/>
      <c r="Y14" s="178"/>
    </row>
    <row r="15" spans="1:25" x14ac:dyDescent="0.25">
      <c r="A15" s="77" t="s">
        <v>120</v>
      </c>
      <c r="B15" s="171"/>
      <c r="C15" s="171"/>
      <c r="D15" s="171"/>
      <c r="E15" s="70" t="s">
        <v>22</v>
      </c>
      <c r="F15" s="171">
        <f>+'Balance Sheet'!O13/'Balance Sheet'!P43</f>
        <v>3.2886271609952218E-5</v>
      </c>
      <c r="G15" s="171">
        <f>+'Balance Sheet'!Q13/'Balance Sheet'!R43</f>
        <v>7.1092907154972346E-5</v>
      </c>
      <c r="H15" s="171">
        <f>+'Balance Sheet'!S13/'Balance Sheet'!T43</f>
        <v>6.0754783179342797E-5</v>
      </c>
      <c r="I15" s="77" t="s">
        <v>120</v>
      </c>
      <c r="J15" s="171"/>
      <c r="K15" s="171"/>
      <c r="L15" s="171"/>
      <c r="O15" s="77" t="s">
        <v>120</v>
      </c>
      <c r="V15" s="179"/>
      <c r="W15" s="180"/>
      <c r="X15" s="179"/>
      <c r="Y15" s="180"/>
    </row>
    <row r="16" spans="1:25" x14ac:dyDescent="0.25">
      <c r="A16" s="70" t="s">
        <v>7</v>
      </c>
      <c r="B16" s="171">
        <f t="shared" ref="B16:D21" si="10">J16</f>
        <v>0.4093548247298901</v>
      </c>
      <c r="C16" s="171">
        <f t="shared" si="10"/>
        <v>0.42475297649271454</v>
      </c>
      <c r="D16" s="171">
        <f t="shared" si="10"/>
        <v>0.42030867042528791</v>
      </c>
      <c r="E16" s="70" t="s">
        <v>23</v>
      </c>
      <c r="F16" s="171">
        <f>+'Balance Sheet'!O14/'Balance Sheet'!P43</f>
        <v>1.456734118644728E-5</v>
      </c>
      <c r="G16" s="171">
        <f>+'Balance Sheet'!Q14/'Balance Sheet'!R43</f>
        <v>9.6161957043622672E-5</v>
      </c>
      <c r="H16" s="171">
        <f>+'Balance Sheet'!S14/'Balance Sheet'!T43</f>
        <v>8.2180507251617733E-5</v>
      </c>
      <c r="I16" s="70" t="s">
        <v>7</v>
      </c>
      <c r="J16" s="171">
        <f>+'Balance Sheet'!G14/'Balance Sheet'!H37</f>
        <v>0.4093548247298901</v>
      </c>
      <c r="K16" s="171">
        <f>+'Balance Sheet'!I14/'Balance Sheet'!J37</f>
        <v>0.42475297649271454</v>
      </c>
      <c r="L16" s="171">
        <f>+'Balance Sheet'!K14/'Balance Sheet'!L37</f>
        <v>0.42030867042528791</v>
      </c>
      <c r="O16" s="70" t="s">
        <v>7</v>
      </c>
      <c r="P16" s="97">
        <v>20513628.387500003</v>
      </c>
      <c r="Q16" s="70"/>
      <c r="R16" s="97">
        <v>56472091</v>
      </c>
      <c r="S16" s="70"/>
      <c r="T16" s="97">
        <v>49042528</v>
      </c>
      <c r="U16" s="70"/>
      <c r="V16" s="179">
        <f>R16-P16</f>
        <v>35958462.612499997</v>
      </c>
      <c r="W16" s="180">
        <f>V16/P16</f>
        <v>1.7529060161005605</v>
      </c>
      <c r="X16" s="179">
        <f>T16-R16</f>
        <v>-7429563</v>
      </c>
      <c r="Y16" s="180">
        <f>X16/T16</f>
        <v>-0.1514922517860417</v>
      </c>
    </row>
    <row r="17" spans="1:25" x14ac:dyDescent="0.25">
      <c r="A17" s="70" t="s">
        <v>121</v>
      </c>
      <c r="B17" s="171">
        <f t="shared" si="10"/>
        <v>-3.1499876623351256E-2</v>
      </c>
      <c r="C17" s="171">
        <f t="shared" si="10"/>
        <v>-1.7958939384675274E-2</v>
      </c>
      <c r="D17" s="171">
        <f t="shared" si="10"/>
        <v>-2.5218522968009964E-2</v>
      </c>
      <c r="E17" s="80" t="s">
        <v>122</v>
      </c>
      <c r="F17" s="171"/>
      <c r="G17" s="171"/>
      <c r="H17" s="171"/>
      <c r="I17" s="70" t="s">
        <v>121</v>
      </c>
      <c r="J17" s="171">
        <f>+'Balance Sheet'!G15/'Balance Sheet'!H37</f>
        <v>-3.1499876623351256E-2</v>
      </c>
      <c r="K17" s="171">
        <f>+'Balance Sheet'!I15/'Balance Sheet'!J37</f>
        <v>-1.7958939384675274E-2</v>
      </c>
      <c r="L17" s="171">
        <f>+'Balance Sheet'!K15/'Balance Sheet'!L37</f>
        <v>-2.5218522968009964E-2</v>
      </c>
      <c r="O17" s="70" t="s">
        <v>121</v>
      </c>
      <c r="P17" s="156">
        <v>-1578524.8499999999</v>
      </c>
      <c r="Q17" s="107">
        <f>SUM(P16:P17)</f>
        <v>18935103.537500001</v>
      </c>
      <c r="R17" s="156">
        <v>-2387691</v>
      </c>
      <c r="S17" s="107">
        <f>SUM(R16:R17)</f>
        <v>54084400</v>
      </c>
      <c r="T17" s="156">
        <v>-2942552</v>
      </c>
      <c r="U17" s="107">
        <f>SUM(T16:T17)</f>
        <v>46099976</v>
      </c>
      <c r="V17" s="179">
        <f>R17-P17</f>
        <v>-809166.15000000014</v>
      </c>
      <c r="W17" s="180">
        <f>V17/Q17</f>
        <v>-4.2733653312087158E-2</v>
      </c>
      <c r="X17" s="179">
        <f>T17-R17</f>
        <v>-554861</v>
      </c>
      <c r="Y17" s="180">
        <f t="shared" ref="Y17:Y19" si="11">X17/T17</f>
        <v>0.18856455213025972</v>
      </c>
    </row>
    <row r="18" spans="1:25" x14ac:dyDescent="0.25">
      <c r="A18" s="70" t="s">
        <v>9</v>
      </c>
      <c r="B18" s="171">
        <f t="shared" si="10"/>
        <v>0</v>
      </c>
      <c r="C18" s="171">
        <f t="shared" si="10"/>
        <v>1.0530053988788911E-2</v>
      </c>
      <c r="D18" s="171">
        <f t="shared" si="10"/>
        <v>1.0284347587268452E-2</v>
      </c>
      <c r="E18" s="70" t="s">
        <v>26</v>
      </c>
      <c r="F18" s="171">
        <f>+'Balance Sheet'!O16/'Balance Sheet'!P43</f>
        <v>3.2886271609952218E-5</v>
      </c>
      <c r="G18" s="171">
        <f>+'Balance Sheet'!Q16/'Balance Sheet'!R43</f>
        <v>7.1092907154972346E-5</v>
      </c>
      <c r="H18" s="171">
        <f>+'Balance Sheet'!S17/'Balance Sheet'!T43</f>
        <v>8.2180507251617733E-5</v>
      </c>
      <c r="I18" s="70" t="s">
        <v>9</v>
      </c>
      <c r="J18" s="171">
        <f>+'Balance Sheet'!H16/'Balance Sheet'!H37</f>
        <v>0</v>
      </c>
      <c r="K18" s="171">
        <f>+'Balance Sheet'!J16/'Balance Sheet'!J37</f>
        <v>1.0530053988788911E-2</v>
      </c>
      <c r="L18" s="171">
        <f>+'Balance Sheet'!L16/'Balance Sheet'!L37</f>
        <v>1.0284347587268452E-2</v>
      </c>
      <c r="O18" s="70" t="s">
        <v>9</v>
      </c>
      <c r="P18" s="70"/>
      <c r="Q18" s="97">
        <v>0</v>
      </c>
      <c r="R18" s="70"/>
      <c r="S18" s="97">
        <v>1400000</v>
      </c>
      <c r="T18" s="70"/>
      <c r="U18" s="97">
        <v>1200000</v>
      </c>
      <c r="V18" s="181">
        <f>+Q18-S18</f>
        <v>-1400000</v>
      </c>
      <c r="W18" s="180">
        <v>0</v>
      </c>
      <c r="X18" s="179">
        <f>U18-S18</f>
        <v>-200000</v>
      </c>
      <c r="Y18" s="180">
        <f>X18/U18</f>
        <v>-0.16666666666666666</v>
      </c>
    </row>
    <row r="19" spans="1:25" x14ac:dyDescent="0.25">
      <c r="A19" s="70" t="s">
        <v>14</v>
      </c>
      <c r="B19" s="171">
        <f t="shared" si="10"/>
        <v>1.8476576891115099E-4</v>
      </c>
      <c r="C19" s="171">
        <f t="shared" si="10"/>
        <v>7.194283314483281E-5</v>
      </c>
      <c r="D19" s="171">
        <f t="shared" si="10"/>
        <v>7.8692399621915771E-5</v>
      </c>
      <c r="E19" s="70" t="s">
        <v>27</v>
      </c>
      <c r="F19" s="171">
        <f>+'Balance Sheet'!O17/'Balance Sheet'!P43</f>
        <v>1.456734118644728E-5</v>
      </c>
      <c r="G19" s="171">
        <f>+'Balance Sheet'!Q17/'Balance Sheet'!R43</f>
        <v>9.6161957043622672E-5</v>
      </c>
      <c r="H19" s="171">
        <f>+'Balance Sheet'!S17/'Balance Sheet'!T43</f>
        <v>8.2180507251617733E-5</v>
      </c>
      <c r="I19" s="70" t="s">
        <v>14</v>
      </c>
      <c r="J19" s="171">
        <f>+'Balance Sheet'!G17/'Balance Sheet'!H37</f>
        <v>1.8476576891115099E-4</v>
      </c>
      <c r="K19" s="171">
        <f>+'Balance Sheet'!I17/'Balance Sheet'!J37</f>
        <v>7.194283314483281E-5</v>
      </c>
      <c r="L19" s="171">
        <f>+'Balance Sheet'!K17/'Balance Sheet'!L37</f>
        <v>7.8692399621915771E-5</v>
      </c>
      <c r="O19" s="70" t="s">
        <v>14</v>
      </c>
      <c r="P19" s="97">
        <v>9259</v>
      </c>
      <c r="Q19" s="97"/>
      <c r="R19" s="97">
        <v>9565</v>
      </c>
      <c r="S19" s="97"/>
      <c r="T19" s="97">
        <v>9182</v>
      </c>
      <c r="U19" s="97"/>
      <c r="V19" s="179">
        <f>R19-P19</f>
        <v>306</v>
      </c>
      <c r="W19" s="180">
        <f>V19/R19</f>
        <v>3.1991636173549401E-2</v>
      </c>
      <c r="X19" s="179">
        <f>T19-R19</f>
        <v>-383</v>
      </c>
      <c r="Y19" s="180">
        <f t="shared" si="11"/>
        <v>-4.1712045306033542E-2</v>
      </c>
    </row>
    <row r="20" spans="1:25" x14ac:dyDescent="0.25">
      <c r="A20" s="70" t="s">
        <v>123</v>
      </c>
      <c r="B20" s="171">
        <f t="shared" si="10"/>
        <v>0.46957738249196801</v>
      </c>
      <c r="C20" s="171">
        <f t="shared" si="10"/>
        <v>0.56675361268904423</v>
      </c>
      <c r="D20" s="171">
        <f t="shared" si="10"/>
        <v>0.56556009922913597</v>
      </c>
      <c r="E20" s="70"/>
      <c r="F20" s="171"/>
      <c r="G20" s="171"/>
      <c r="H20" s="171"/>
      <c r="I20" s="70" t="s">
        <v>123</v>
      </c>
      <c r="J20" s="171">
        <f>+'Balance Sheet'!G18/'Balance Sheet'!H37</f>
        <v>0.46957738249196801</v>
      </c>
      <c r="K20" s="171">
        <f>+'Balance Sheet'!I18/'Balance Sheet'!J37</f>
        <v>0.56675361268904423</v>
      </c>
      <c r="L20" s="171">
        <f>+'Balance Sheet'!K18/'Balance Sheet'!L37</f>
        <v>0.56556009922913597</v>
      </c>
      <c r="O20" s="70" t="s">
        <v>123</v>
      </c>
      <c r="P20" s="97">
        <v>23531507</v>
      </c>
      <c r="Q20" s="70"/>
      <c r="R20" s="97">
        <v>75351471</v>
      </c>
      <c r="S20" s="70"/>
      <c r="T20" s="97">
        <v>65990780</v>
      </c>
      <c r="U20" s="70"/>
      <c r="V20" s="179">
        <f>R20-P20</f>
        <v>51819964</v>
      </c>
      <c r="W20" s="180">
        <f>V20/R20</f>
        <v>0.68771005147331499</v>
      </c>
      <c r="X20" s="179">
        <f>T20-R20</f>
        <v>-9360691</v>
      </c>
      <c r="Y20" s="180">
        <f>X20/T20</f>
        <v>-0.14184846731619175</v>
      </c>
    </row>
    <row r="21" spans="1:25" x14ac:dyDescent="0.25">
      <c r="A21" s="70" t="s">
        <v>124</v>
      </c>
      <c r="B21" s="171">
        <f t="shared" si="10"/>
        <v>-7.5131560638350095E-2</v>
      </c>
      <c r="C21" s="171">
        <f t="shared" si="10"/>
        <v>-9.128129994388548E-2</v>
      </c>
      <c r="D21" s="171">
        <f t="shared" si="10"/>
        <v>-9.048961759071969E-2</v>
      </c>
      <c r="E21" s="77" t="s">
        <v>125</v>
      </c>
      <c r="F21" s="171"/>
      <c r="G21" s="171"/>
      <c r="H21" s="171"/>
      <c r="I21" s="70" t="s">
        <v>124</v>
      </c>
      <c r="J21" s="171">
        <f>+'Balance Sheet'!G19/'Balance Sheet'!H37</f>
        <v>-7.5131560638350095E-2</v>
      </c>
      <c r="K21" s="171">
        <f>+'Balance Sheet'!I19/'Balance Sheet'!J37</f>
        <v>-9.128129994388548E-2</v>
      </c>
      <c r="L21" s="171">
        <f>+'Balance Sheet'!K19/'Balance Sheet'!L37</f>
        <v>-9.048961759071969E-2</v>
      </c>
      <c r="O21" s="70" t="s">
        <v>124</v>
      </c>
      <c r="P21" s="156">
        <v>-3765000</v>
      </c>
      <c r="Q21" s="107">
        <f>SUM(P19:P21)</f>
        <v>19775766</v>
      </c>
      <c r="R21" s="156">
        <v>-12136103.0112</v>
      </c>
      <c r="S21" s="107">
        <f>SUM(R19:R21)</f>
        <v>63224932.988800004</v>
      </c>
      <c r="T21" s="156">
        <v>-10558525</v>
      </c>
      <c r="U21" s="107">
        <f>SUM(T19:T21)</f>
        <v>55441437</v>
      </c>
      <c r="V21" s="179">
        <f t="shared" ref="V21" si="12">S21-Q21</f>
        <v>43449166.988800004</v>
      </c>
      <c r="W21" s="180">
        <f t="shared" ref="W21" si="13">V21/Q21</f>
        <v>2.1970914799861609</v>
      </c>
      <c r="X21" s="179">
        <f t="shared" ref="X21" si="14">U21-S21</f>
        <v>-7783495.9888000041</v>
      </c>
      <c r="Y21" s="180">
        <f>X21/T21</f>
        <v>0.73717645114256058</v>
      </c>
    </row>
    <row r="22" spans="1:25" x14ac:dyDescent="0.25">
      <c r="A22" s="70"/>
      <c r="B22" s="171"/>
      <c r="C22" s="171"/>
      <c r="D22" s="171"/>
      <c r="E22" s="70" t="s">
        <v>126</v>
      </c>
      <c r="F22" s="171">
        <f>+'Balance Sheet'!O20/'Balance Sheet'!P43</f>
        <v>0</v>
      </c>
      <c r="G22" s="171">
        <f>+'Balance Sheet'!Q20/'Balance Sheet'!R43</f>
        <v>2.4109611543676954E-2</v>
      </c>
      <c r="H22" s="171">
        <f>+'Balance Sheet'!S20/'Balance Sheet'!T43</f>
        <v>5.1520638915777461E-2</v>
      </c>
      <c r="I22" s="70"/>
      <c r="J22" s="171"/>
      <c r="K22" s="171"/>
      <c r="L22" s="171"/>
      <c r="O22" s="70"/>
      <c r="V22" s="178"/>
      <c r="W22" s="178"/>
      <c r="X22" s="178"/>
      <c r="Y22" s="178"/>
    </row>
    <row r="23" spans="1:25" x14ac:dyDescent="0.25">
      <c r="A23" s="77" t="s">
        <v>127</v>
      </c>
      <c r="B23" s="171"/>
      <c r="C23" s="171"/>
      <c r="D23" s="171"/>
      <c r="E23" s="70" t="s">
        <v>24</v>
      </c>
      <c r="F23" s="171">
        <f>+'Balance Sheet'!O21/'Balance Sheet'!P43</f>
        <v>1.5048262998219032E-4</v>
      </c>
      <c r="G23" s="171">
        <f>+'Balance Sheet'!Q21/'Balance Sheet'!R43</f>
        <v>9.9475915453745489E-4</v>
      </c>
      <c r="H23" s="171">
        <f>+'Balance Sheet'!S21/'Balance Sheet'!T43</f>
        <v>8.5010416887083807E-4</v>
      </c>
      <c r="I23" s="77" t="s">
        <v>127</v>
      </c>
      <c r="J23" s="171"/>
      <c r="K23" s="171"/>
      <c r="L23" s="171"/>
      <c r="O23" s="77" t="s">
        <v>127</v>
      </c>
      <c r="V23" s="178"/>
      <c r="W23" s="178"/>
      <c r="X23" s="178"/>
      <c r="Y23" s="178"/>
    </row>
    <row r="24" spans="1:25" x14ac:dyDescent="0.25">
      <c r="A24" s="70" t="s">
        <v>12</v>
      </c>
      <c r="B24" s="171">
        <f t="shared" ref="B24:D25" si="15">J24</f>
        <v>3.6501027415860185E-2</v>
      </c>
      <c r="C24" s="171">
        <f t="shared" si="15"/>
        <v>2.1289317167045217E-2</v>
      </c>
      <c r="D24" s="171">
        <f t="shared" si="15"/>
        <v>2.2863150261835805E-2</v>
      </c>
      <c r="E24" s="70" t="s">
        <v>25</v>
      </c>
      <c r="F24" s="171">
        <f>+'Balance Sheet'!O22/'Balance Sheet'!P43</f>
        <v>7.0222566623435583E-5</v>
      </c>
      <c r="G24" s="171">
        <f>+'Balance Sheet'!Q22/'Balance Sheet'!R43</f>
        <v>4.6354801819307507E-4</v>
      </c>
      <c r="H24" s="171">
        <f>+'Balance Sheet'!S22/'Balance Sheet'!T43</f>
        <v>3.9594738085564076E-4</v>
      </c>
      <c r="I24" s="70" t="s">
        <v>12</v>
      </c>
      <c r="J24" s="171">
        <f>+'Balance Sheet'!G22/'Balance Sheet'!H37</f>
        <v>3.6501027415860185E-2</v>
      </c>
      <c r="K24" s="171">
        <f>+'Balance Sheet'!I22/'Balance Sheet'!J37</f>
        <v>2.1289317167045217E-2</v>
      </c>
      <c r="L24" s="171">
        <f>+'Balance Sheet'!K22/'Balance Sheet'!L37</f>
        <v>2.2863150261835805E-2</v>
      </c>
      <c r="O24" s="70" t="s">
        <v>12</v>
      </c>
      <c r="P24" s="97">
        <v>1829143</v>
      </c>
      <c r="Q24" s="70"/>
      <c r="R24" s="97">
        <v>2830474</v>
      </c>
      <c r="S24" s="70"/>
      <c r="T24" s="97">
        <v>2667722</v>
      </c>
      <c r="U24" s="70"/>
      <c r="V24" s="179">
        <f>R24-P24</f>
        <v>1001331</v>
      </c>
      <c r="W24" s="180">
        <f>V24/R24</f>
        <v>0.35376795547318224</v>
      </c>
      <c r="X24" s="179">
        <f>T24-R24</f>
        <v>-162752</v>
      </c>
      <c r="Y24" s="180">
        <f>X24/T24</f>
        <v>-6.1007856140932223E-2</v>
      </c>
    </row>
    <row r="25" spans="1:25" x14ac:dyDescent="0.25">
      <c r="A25" s="70" t="s">
        <v>13</v>
      </c>
      <c r="B25" s="171">
        <f t="shared" si="15"/>
        <v>4.9888154474336047E-3</v>
      </c>
      <c r="C25" s="171">
        <f t="shared" si="15"/>
        <v>0</v>
      </c>
      <c r="D25" s="171">
        <f t="shared" si="15"/>
        <v>0</v>
      </c>
      <c r="E25" s="70" t="s">
        <v>129</v>
      </c>
      <c r="F25" s="171">
        <f>+'Balance Sheet'!P24/'Balance Sheet'!P43</f>
        <v>0</v>
      </c>
      <c r="G25" s="171">
        <f>+'Balance Sheet'!R24/'Balance Sheet'!R43</f>
        <v>5.0968469746609669E-3</v>
      </c>
      <c r="H25" s="171">
        <f>+'Balance Sheet'!T24/'Balance Sheet'!T43</f>
        <v>6.1832925614659674E-3</v>
      </c>
      <c r="I25" s="70" t="s">
        <v>13</v>
      </c>
      <c r="J25" s="171">
        <f>+'Balance Sheet'!G23/'Balance Sheet'!H37</f>
        <v>4.9888154474336047E-3</v>
      </c>
      <c r="K25" s="171">
        <f>+'Balance Sheet'!I23/'Balance Sheet'!J37</f>
        <v>0</v>
      </c>
      <c r="L25" s="171">
        <f>+'Balance Sheet'!K23/'Balance Sheet'!L37</f>
        <v>0</v>
      </c>
      <c r="O25" s="70" t="s">
        <v>13</v>
      </c>
      <c r="P25" s="156">
        <v>250000</v>
      </c>
      <c r="Q25" s="107">
        <f>SUM(P24:P25)</f>
        <v>2079143</v>
      </c>
      <c r="R25" s="156">
        <v>0</v>
      </c>
      <c r="S25" s="107">
        <f>SUM(R24:R25)</f>
        <v>2830474</v>
      </c>
      <c r="T25" s="156">
        <v>0</v>
      </c>
      <c r="U25" s="107">
        <f>SUM(T24:T25)</f>
        <v>2667722</v>
      </c>
      <c r="V25" s="179">
        <f>R25-P25</f>
        <v>-250000</v>
      </c>
      <c r="W25" s="180">
        <v>0</v>
      </c>
      <c r="X25" s="179">
        <f>T25-R25</f>
        <v>0</v>
      </c>
      <c r="Y25" s="180">
        <v>0</v>
      </c>
    </row>
    <row r="26" spans="1:25" ht="15.75" thickBot="1" x14ac:dyDescent="0.3">
      <c r="A26" s="81" t="s">
        <v>128</v>
      </c>
      <c r="B26" s="174">
        <f>SUM(B10:B25)</f>
        <v>0.97346040504468989</v>
      </c>
      <c r="C26" s="174">
        <f t="shared" ref="C26" si="16">SUM(C10:C25)</f>
        <v>0.97499637454062071</v>
      </c>
      <c r="D26" s="174">
        <f t="shared" ref="D26" si="17">SUM(D10:D25)</f>
        <v>0.97564198013248549</v>
      </c>
      <c r="E26" s="70"/>
      <c r="F26" s="171"/>
      <c r="G26" s="171"/>
      <c r="H26" s="171"/>
      <c r="I26" s="81" t="s">
        <v>128</v>
      </c>
      <c r="J26" s="174">
        <f>SUM(J10:J25)</f>
        <v>0.97346040504468989</v>
      </c>
      <c r="K26" s="174">
        <f t="shared" ref="K26:L26" si="18">SUM(K10:K25)</f>
        <v>0.97499637454062071</v>
      </c>
      <c r="L26" s="174">
        <f t="shared" si="18"/>
        <v>0.97564198013248549</v>
      </c>
      <c r="O26" s="81" t="s">
        <v>128</v>
      </c>
      <c r="P26" s="70"/>
      <c r="Q26" s="158">
        <f>Q13+Q17+Q18+Q19+Q21+Q25</f>
        <v>48782141.537500001</v>
      </c>
      <c r="R26" s="70"/>
      <c r="S26" s="158">
        <f>S13+S17+S18+S19+S21+S25</f>
        <v>129628482.9888</v>
      </c>
      <c r="T26" s="70"/>
      <c r="U26" s="158">
        <f>U13+U17+U18+U19+U21+U25</f>
        <v>113840024</v>
      </c>
      <c r="V26" s="179">
        <f>S26-Q26</f>
        <v>80846341.451299995</v>
      </c>
      <c r="W26" s="180">
        <f t="shared" ref="W26" si="19">V26/Q26</f>
        <v>1.6572938149743073</v>
      </c>
      <c r="X26" s="179">
        <f>U26-S26</f>
        <v>-15788458.988800004</v>
      </c>
      <c r="Y26" s="180">
        <f t="shared" ref="Y26" si="20">X26/S26</f>
        <v>-0.12179776099180409</v>
      </c>
    </row>
    <row r="27" spans="1:25" ht="15.75" thickTop="1" x14ac:dyDescent="0.25">
      <c r="A27" s="70"/>
      <c r="B27" s="171"/>
      <c r="C27" s="171"/>
      <c r="D27" s="171"/>
      <c r="E27" s="77" t="s">
        <v>130</v>
      </c>
      <c r="F27" s="171"/>
      <c r="G27" s="171"/>
      <c r="H27" s="171"/>
      <c r="I27" s="70"/>
      <c r="J27" s="171"/>
      <c r="K27" s="171"/>
      <c r="L27" s="171"/>
      <c r="O27" s="70"/>
      <c r="V27" s="178"/>
      <c r="W27" s="178"/>
      <c r="X27" s="178"/>
      <c r="Y27" s="178"/>
    </row>
    <row r="28" spans="1:25" x14ac:dyDescent="0.25">
      <c r="A28" s="71" t="s">
        <v>131</v>
      </c>
      <c r="B28" s="171"/>
      <c r="C28" s="171"/>
      <c r="D28" s="171"/>
      <c r="E28" s="70" t="s">
        <v>32</v>
      </c>
      <c r="F28" s="171">
        <f>+'Balance Sheet'!O26/'Balance Sheet'!P43</f>
        <v>0</v>
      </c>
      <c r="G28" s="171">
        <f>+'Balance Sheet'!Q26/'Balance Sheet'!R43</f>
        <v>3.7908194251064392E-3</v>
      </c>
      <c r="H28" s="171">
        <f>+'Balance Sheet'!S26/'Balance Sheet'!T43</f>
        <v>3.9337629396696775E-3</v>
      </c>
      <c r="I28" s="71" t="s">
        <v>131</v>
      </c>
      <c r="J28" s="171"/>
      <c r="K28" s="171"/>
      <c r="L28" s="171"/>
      <c r="O28" s="71" t="s">
        <v>131</v>
      </c>
      <c r="V28" s="178"/>
      <c r="W28" s="178"/>
      <c r="X28" s="178"/>
      <c r="Y28" s="178"/>
    </row>
    <row r="29" spans="1:25" x14ac:dyDescent="0.25">
      <c r="A29" s="70" t="s">
        <v>15</v>
      </c>
      <c r="B29" s="171">
        <f t="shared" ref="B29:D34" si="21">J29</f>
        <v>2.918457036748659E-3</v>
      </c>
      <c r="C29" s="171">
        <f t="shared" si="21"/>
        <v>9.8561305335064203E-4</v>
      </c>
      <c r="D29" s="171">
        <f t="shared" si="21"/>
        <v>1.123050756529715E-3</v>
      </c>
      <c r="E29" s="70" t="s">
        <v>33</v>
      </c>
      <c r="F29" s="171">
        <f>+'Balance Sheet'!P27/'Balance Sheet'!P43</f>
        <v>0.11973157139545709</v>
      </c>
      <c r="G29" s="171">
        <f>+'Balance Sheet'!Q27/'Balance Sheet'!R43</f>
        <v>0.114702373477923</v>
      </c>
      <c r="H29" s="171">
        <f>+'Balance Sheet'!S27/'Balance Sheet'!T43</f>
        <v>0.1285543444336496</v>
      </c>
      <c r="I29" s="70" t="s">
        <v>15</v>
      </c>
      <c r="J29" s="171">
        <f>+'Balance Sheet'!H27/'Balance Sheet'!H37</f>
        <v>2.918457036748659E-3</v>
      </c>
      <c r="K29" s="171">
        <f>+'Balance Sheet'!J27/'Balance Sheet'!J37</f>
        <v>9.8561305335064203E-4</v>
      </c>
      <c r="L29" s="171">
        <f>+'Balance Sheet'!L27/'Balance Sheet'!L37</f>
        <v>1.123050756529715E-3</v>
      </c>
      <c r="O29" s="70" t="s">
        <v>15</v>
      </c>
      <c r="P29" s="70"/>
      <c r="Q29" s="97">
        <v>146250</v>
      </c>
      <c r="R29" s="70"/>
      <c r="S29" s="97">
        <v>131040</v>
      </c>
      <c r="T29" s="70"/>
      <c r="U29" s="97">
        <v>131040</v>
      </c>
      <c r="V29" s="179">
        <f t="shared" ref="V29:V33" si="22">S29-Q29</f>
        <v>-15210</v>
      </c>
      <c r="W29" s="180">
        <f t="shared" ref="W29:W33" si="23">V29/Q29</f>
        <v>-0.104</v>
      </c>
      <c r="X29" s="179">
        <f t="shared" ref="X29:X30" si="24">U29-S29</f>
        <v>0</v>
      </c>
      <c r="Y29" s="180">
        <f t="shared" ref="Y29:Y33" si="25">X29/S29</f>
        <v>0</v>
      </c>
    </row>
    <row r="30" spans="1:25" ht="15.75" thickBot="1" x14ac:dyDescent="0.3">
      <c r="A30" s="70" t="s">
        <v>16</v>
      </c>
      <c r="B30" s="171">
        <f t="shared" si="21"/>
        <v>1.5562749475101658E-2</v>
      </c>
      <c r="C30" s="171">
        <f t="shared" si="21"/>
        <v>5.2558104172200125E-3</v>
      </c>
      <c r="D30" s="171">
        <f t="shared" si="21"/>
        <v>7.1456900903999043E-3</v>
      </c>
      <c r="E30" s="81" t="s">
        <v>136</v>
      </c>
      <c r="F30" s="174">
        <f>+'Balance Sheet'!P28/'Balance Sheet'!P43</f>
        <v>0.2990743991231179</v>
      </c>
      <c r="G30" s="174">
        <f>+'Balance Sheet'!R28/'Balance Sheet'!R43</f>
        <v>0.30160428756719915</v>
      </c>
      <c r="H30" s="174">
        <f>+'Balance Sheet'!T28/'Balance Sheet'!T43</f>
        <v>0.30842954576153714</v>
      </c>
      <c r="I30" s="70" t="s">
        <v>16</v>
      </c>
      <c r="J30" s="171">
        <f>+'Balance Sheet'!H28/'Balance Sheet'!H37</f>
        <v>1.5562749475101658E-2</v>
      </c>
      <c r="K30" s="171">
        <f>+'Balance Sheet'!J28/'Balance Sheet'!J37</f>
        <v>5.2558104172200125E-3</v>
      </c>
      <c r="L30" s="171">
        <f>+'Balance Sheet'!L28/'Balance Sheet'!L37</f>
        <v>7.1456900903999043E-3</v>
      </c>
      <c r="O30" s="70" t="s">
        <v>16</v>
      </c>
      <c r="P30" s="70"/>
      <c r="Q30" s="97">
        <v>779882</v>
      </c>
      <c r="R30" s="70"/>
      <c r="S30" s="97">
        <v>698774.63040000002</v>
      </c>
      <c r="T30" s="70"/>
      <c r="U30" s="97">
        <v>833774.63040000002</v>
      </c>
      <c r="V30" s="179">
        <f t="shared" si="22"/>
        <v>-81107.369599999976</v>
      </c>
      <c r="W30" s="180">
        <f t="shared" si="23"/>
        <v>-0.1039995404432978</v>
      </c>
      <c r="X30" s="179">
        <f t="shared" si="24"/>
        <v>135000</v>
      </c>
      <c r="Y30" s="180">
        <f t="shared" si="25"/>
        <v>0.19319533670351177</v>
      </c>
    </row>
    <row r="31" spans="1:25" ht="15.75" thickTop="1" x14ac:dyDescent="0.25">
      <c r="A31" s="70" t="s">
        <v>17</v>
      </c>
      <c r="B31" s="171">
        <f t="shared" si="21"/>
        <v>1.0806213274900563E-2</v>
      </c>
      <c r="C31" s="171">
        <f t="shared" si="21"/>
        <v>2.4674842346447876E-2</v>
      </c>
      <c r="D31" s="171">
        <f t="shared" si="21"/>
        <v>2.8115597972474517E-2</v>
      </c>
      <c r="E31" s="71" t="s">
        <v>132</v>
      </c>
      <c r="F31" s="171"/>
      <c r="G31" s="171"/>
      <c r="H31" s="171"/>
      <c r="I31" s="70" t="s">
        <v>17</v>
      </c>
      <c r="J31" s="171">
        <f>+'Balance Sheet'!G29/'Balance Sheet'!H37</f>
        <v>1.0806213274900563E-2</v>
      </c>
      <c r="K31" s="171">
        <f>+'Balance Sheet'!I29/'Balance Sheet'!J37</f>
        <v>2.4674842346447876E-2</v>
      </c>
      <c r="L31" s="171">
        <f>+'Balance Sheet'!K29/'Balance Sheet'!L37</f>
        <v>2.8115597972474517E-2</v>
      </c>
      <c r="O31" s="70" t="s">
        <v>17</v>
      </c>
      <c r="P31" s="97">
        <v>541522</v>
      </c>
      <c r="Q31" s="97"/>
      <c r="R31" s="97">
        <v>3280589</v>
      </c>
      <c r="S31" s="70"/>
      <c r="T31" s="97">
        <v>3280589</v>
      </c>
      <c r="U31" s="70"/>
      <c r="V31" s="179">
        <f>R31-P31</f>
        <v>2739067</v>
      </c>
      <c r="W31" s="180">
        <v>0</v>
      </c>
      <c r="X31" s="179">
        <f>T31-R31</f>
        <v>0</v>
      </c>
      <c r="Y31" s="180">
        <v>0</v>
      </c>
    </row>
    <row r="32" spans="1:25" x14ac:dyDescent="0.25">
      <c r="A32" s="70" t="s">
        <v>133</v>
      </c>
      <c r="B32" s="171">
        <f t="shared" si="21"/>
        <v>-4.0908286668955556E-3</v>
      </c>
      <c r="C32" s="171">
        <f t="shared" si="21"/>
        <v>-5.9126403576392431E-3</v>
      </c>
      <c r="D32" s="171">
        <f t="shared" si="21"/>
        <v>-1.2026318951889638E-2</v>
      </c>
      <c r="E32" s="70" t="s">
        <v>29</v>
      </c>
      <c r="F32" s="172">
        <f>+'Balance Sheet'!P30/'Balance Sheet'!P43</f>
        <v>0.24944077374053561</v>
      </c>
      <c r="G32" s="172">
        <f>+'Balance Sheet'!R30/'Balance Sheet'!R43</f>
        <v>0.39285645652326878</v>
      </c>
      <c r="H32" s="172">
        <f>+'Balance Sheet'!T30/'Balance Sheet'!T43</f>
        <v>0.40693223817373092</v>
      </c>
      <c r="I32" s="70" t="s">
        <v>133</v>
      </c>
      <c r="J32" s="171">
        <f>+'Balance Sheet'!G30/'Balance Sheet'!H37</f>
        <v>-4.0908286668955556E-3</v>
      </c>
      <c r="K32" s="171">
        <f>+'Balance Sheet'!I30/'Balance Sheet'!J37</f>
        <v>-5.9126403576392431E-3</v>
      </c>
      <c r="L32" s="171">
        <f>+'Balance Sheet'!K30/'Balance Sheet'!L37</f>
        <v>-1.2026318951889638E-2</v>
      </c>
      <c r="O32" s="70" t="s">
        <v>133</v>
      </c>
      <c r="P32" s="156">
        <v>-205000</v>
      </c>
      <c r="Q32" s="107">
        <f>SUM(P31:P32)</f>
        <v>336522</v>
      </c>
      <c r="R32" s="156">
        <v>-786102</v>
      </c>
      <c r="S32" s="107">
        <f>SUM(R31:R32)</f>
        <v>2494487</v>
      </c>
      <c r="T32" s="156">
        <f>R32-617155</f>
        <v>-1403257</v>
      </c>
      <c r="U32" s="107">
        <f>SUM(T31:T32)</f>
        <v>1877332</v>
      </c>
      <c r="V32" s="179">
        <f>R32-P32</f>
        <v>-581102</v>
      </c>
      <c r="W32" s="180">
        <f t="shared" si="23"/>
        <v>-1.7267875502938888</v>
      </c>
      <c r="X32" s="179">
        <f t="shared" ref="X32" si="26">T32-R32</f>
        <v>-617155</v>
      </c>
      <c r="Y32" s="180">
        <f t="shared" si="25"/>
        <v>-0.2474075832024781</v>
      </c>
    </row>
    <row r="33" spans="1:25" ht="15.75" thickBot="1" x14ac:dyDescent="0.3">
      <c r="B33" s="171">
        <f t="shared" si="21"/>
        <v>0</v>
      </c>
      <c r="C33" s="171">
        <f t="shared" si="21"/>
        <v>0</v>
      </c>
      <c r="D33" s="171">
        <f t="shared" si="21"/>
        <v>0</v>
      </c>
      <c r="E33" s="160" t="s">
        <v>139</v>
      </c>
      <c r="F33" s="171">
        <f>+'Balance Sheet'!P34/'Balance Sheet'!P43</f>
        <v>0</v>
      </c>
      <c r="G33" s="171">
        <f>+'Balance Sheet'!R34/'Balance Sheet'!R43</f>
        <v>9.5991671028177405E-2</v>
      </c>
      <c r="H33" s="171">
        <f>+'Balance Sheet'!T34/'Balance Sheet'!T43</f>
        <v>0.10319382898694951</v>
      </c>
      <c r="J33" s="171"/>
      <c r="K33" s="171"/>
      <c r="L33" s="171"/>
      <c r="O33" s="81" t="s">
        <v>134</v>
      </c>
      <c r="P33" s="70"/>
      <c r="Q33" s="158">
        <f>Q29+Q30+Q32</f>
        <v>1262654</v>
      </c>
      <c r="R33" s="70"/>
      <c r="S33" s="158">
        <f>S29+S30+S32</f>
        <v>3324301.6304000001</v>
      </c>
      <c r="T33" s="70"/>
      <c r="U33" s="158">
        <f>U29+U30+U32</f>
        <v>2842146.6304000001</v>
      </c>
      <c r="V33" s="179">
        <f t="shared" si="22"/>
        <v>2061647.6304000001</v>
      </c>
      <c r="W33" s="180">
        <f t="shared" si="23"/>
        <v>1.6327890541668582</v>
      </c>
      <c r="X33" s="179">
        <f>U33-S33</f>
        <v>-482155</v>
      </c>
      <c r="Y33" s="180">
        <f t="shared" si="25"/>
        <v>-0.14503948606552414</v>
      </c>
    </row>
    <row r="34" spans="1:25" ht="15.75" thickTop="1" x14ac:dyDescent="0.25">
      <c r="A34" s="81" t="s">
        <v>134</v>
      </c>
      <c r="B34" s="171">
        <f t="shared" si="21"/>
        <v>2.5196591119855324E-2</v>
      </c>
      <c r="C34" s="171">
        <f t="shared" si="21"/>
        <v>2.5003625459379286E-2</v>
      </c>
      <c r="D34" s="171">
        <f t="shared" si="21"/>
        <v>2.4358019867514499E-2</v>
      </c>
      <c r="E34" s="81" t="s">
        <v>135</v>
      </c>
      <c r="F34" s="171">
        <f>+F32</f>
        <v>0.24944077374053561</v>
      </c>
      <c r="G34" s="171">
        <f>+G32+G33</f>
        <v>0.48884812755144619</v>
      </c>
      <c r="H34" s="171">
        <f>+H32+H33</f>
        <v>0.51012606716068043</v>
      </c>
      <c r="I34" s="81" t="s">
        <v>134</v>
      </c>
      <c r="J34" s="171">
        <f>SUM(J29:J33)</f>
        <v>2.5196591119855324E-2</v>
      </c>
      <c r="K34" s="171">
        <f>SUM(K29:K33)</f>
        <v>2.5003625459379286E-2</v>
      </c>
      <c r="L34" s="171">
        <f>SUM(L29:L33)</f>
        <v>2.4358019867514499E-2</v>
      </c>
      <c r="O34" s="70"/>
      <c r="V34" s="178"/>
      <c r="W34" s="178"/>
      <c r="X34" s="178"/>
      <c r="Y34" s="178"/>
    </row>
    <row r="35" spans="1:25" ht="15.75" thickBot="1" x14ac:dyDescent="0.3">
      <c r="B35" s="174">
        <f>+B34+B26</f>
        <v>0.99865699616454517</v>
      </c>
      <c r="C35" s="174">
        <f>+C34+C26</f>
        <v>1</v>
      </c>
      <c r="D35" s="174">
        <f>+D34+D26</f>
        <v>1</v>
      </c>
      <c r="E35" s="71" t="s">
        <v>213</v>
      </c>
      <c r="F35" s="174">
        <f>+F34+F30</f>
        <v>0.54851517286365348</v>
      </c>
      <c r="G35" s="174">
        <f>+G34+G30</f>
        <v>0.79045241511864539</v>
      </c>
      <c r="H35" s="174">
        <f>+H34+H30</f>
        <v>0.81855561292221757</v>
      </c>
      <c r="J35" s="174">
        <f>+J34+J26</f>
        <v>0.99865699616454517</v>
      </c>
      <c r="K35" s="174">
        <f>+K34+K26</f>
        <v>1</v>
      </c>
      <c r="L35" s="174">
        <f>+L34+L26</f>
        <v>1</v>
      </c>
      <c r="O35" s="71" t="s">
        <v>138</v>
      </c>
      <c r="P35" s="70"/>
      <c r="Q35" s="70"/>
      <c r="R35" s="70"/>
      <c r="S35" s="70"/>
      <c r="T35" s="70"/>
      <c r="V35" s="178"/>
      <c r="W35" s="178"/>
      <c r="X35" s="178"/>
      <c r="Y35" s="178"/>
    </row>
    <row r="36" spans="1:25" ht="15.75" thickTop="1" x14ac:dyDescent="0.25">
      <c r="B36" s="171"/>
      <c r="C36" s="171"/>
      <c r="D36" s="171"/>
      <c r="J36" s="171"/>
      <c r="K36" s="171"/>
      <c r="L36" s="171"/>
      <c r="O36" s="71" t="s">
        <v>256</v>
      </c>
      <c r="P36" s="97"/>
      <c r="Q36" s="70"/>
      <c r="R36" s="97"/>
      <c r="S36" s="70"/>
      <c r="T36" s="97"/>
      <c r="V36" s="179">
        <f t="shared" ref="V36:V37" si="27">S36-Q36</f>
        <v>0</v>
      </c>
      <c r="W36" s="180">
        <v>0</v>
      </c>
      <c r="X36" s="179">
        <f t="shared" ref="X36" si="28">U36-S36</f>
        <v>0</v>
      </c>
      <c r="Y36" s="180">
        <v>0</v>
      </c>
    </row>
    <row r="37" spans="1:25" x14ac:dyDescent="0.25">
      <c r="B37" s="171"/>
      <c r="C37" s="171"/>
      <c r="D37" s="171"/>
      <c r="E37" s="71" t="s">
        <v>257</v>
      </c>
      <c r="J37" s="171"/>
      <c r="K37" s="171"/>
      <c r="L37" s="171"/>
      <c r="O37" s="71" t="s">
        <v>140</v>
      </c>
      <c r="Q37" s="97">
        <v>67300.737499999988</v>
      </c>
      <c r="R37" s="97"/>
      <c r="S37" s="70"/>
      <c r="T37" s="97"/>
      <c r="V37" s="179">
        <f t="shared" si="27"/>
        <v>-67300.737499999988</v>
      </c>
      <c r="W37" s="180">
        <f t="shared" ref="W37" si="29">V37/Q37</f>
        <v>-1</v>
      </c>
      <c r="X37" s="179">
        <v>0</v>
      </c>
      <c r="Y37" s="180">
        <v>0</v>
      </c>
    </row>
    <row r="38" spans="1:25" x14ac:dyDescent="0.25">
      <c r="A38" s="71" t="s">
        <v>138</v>
      </c>
      <c r="B38" s="171"/>
      <c r="C38" s="171"/>
      <c r="D38" s="171"/>
      <c r="E38" s="70" t="s">
        <v>35</v>
      </c>
      <c r="F38" s="171">
        <f>+'Balance Sheet'!P38/'Balance Sheet'!$P$43</f>
        <v>0.20217174711670413</v>
      </c>
      <c r="G38" s="171">
        <f>+'Balance Sheet'!R38/'Balance Sheet'!$R$43</f>
        <v>7.6201863691685731E-2</v>
      </c>
      <c r="H38" s="171">
        <f>+'Balance Sheet'!T38/'Balance Sheet'!$T$43</f>
        <v>8.6827746802894165E-2</v>
      </c>
      <c r="I38" s="71" t="s">
        <v>138</v>
      </c>
      <c r="J38" s="171"/>
      <c r="K38" s="171"/>
      <c r="L38" s="171"/>
      <c r="O38" s="70"/>
      <c r="Q38" s="70"/>
      <c r="S38" s="70"/>
      <c r="V38" s="178"/>
      <c r="W38" s="178"/>
      <c r="X38" s="178"/>
      <c r="Y38" s="178"/>
    </row>
    <row r="39" spans="1:25" ht="15.75" thickBot="1" x14ac:dyDescent="0.3">
      <c r="A39" s="71" t="s">
        <v>256</v>
      </c>
      <c r="B39" s="171"/>
      <c r="C39" s="171"/>
      <c r="D39" s="171"/>
      <c r="E39" s="70" t="s">
        <v>36</v>
      </c>
      <c r="F39" s="171">
        <f>+'Balance Sheet'!P39/'Balance Sheet'!$P$43</f>
        <v>0.18515988634759958</v>
      </c>
      <c r="G39" s="171">
        <f>+'Balance Sheet'!R39/'Balance Sheet'!$R$43</f>
        <v>6.9789812977592014E-2</v>
      </c>
      <c r="H39" s="171">
        <f>+'Balance Sheet'!T39/'Balance Sheet'!$T$43</f>
        <v>7.9521574894248409E-2</v>
      </c>
      <c r="I39" s="71" t="s">
        <v>256</v>
      </c>
      <c r="J39" s="171"/>
      <c r="K39" s="171"/>
      <c r="L39" s="171"/>
      <c r="O39" s="71" t="s">
        <v>141</v>
      </c>
      <c r="Q39" s="158">
        <f>Q26+Q33+Q37+Q38</f>
        <v>50112096.274999999</v>
      </c>
      <c r="S39" s="158">
        <f>S26+S33+S37+S38</f>
        <v>132952784.61920001</v>
      </c>
      <c r="U39" s="158">
        <f>U26+U33+U37+U38</f>
        <v>116682170.6304</v>
      </c>
      <c r="V39" s="179">
        <f t="shared" ref="V39" si="30">S39-Q39</f>
        <v>82840688.344200015</v>
      </c>
      <c r="W39" s="180">
        <f t="shared" ref="W39" si="31">V39/Q39</f>
        <v>1.6531076227503121</v>
      </c>
      <c r="X39" s="179">
        <f t="shared" ref="X39" si="32">U39-S39</f>
        <v>-16270613.988800004</v>
      </c>
      <c r="Y39" s="180">
        <f t="shared" ref="Y39" si="33">X39/S39</f>
        <v>-0.12237888838057724</v>
      </c>
    </row>
    <row r="40" spans="1:25" ht="15.75" thickTop="1" x14ac:dyDescent="0.25">
      <c r="A40" s="71" t="s">
        <v>140</v>
      </c>
      <c r="B40" s="171">
        <f t="shared" ref="B40:D40" si="34">J40</f>
        <v>1.343003835454696E-3</v>
      </c>
      <c r="C40" s="171">
        <f t="shared" si="34"/>
        <v>0</v>
      </c>
      <c r="D40" s="171">
        <f t="shared" si="34"/>
        <v>0</v>
      </c>
      <c r="E40" s="70" t="s">
        <v>143</v>
      </c>
      <c r="F40" s="171">
        <f>+'Balance Sheet'!P40/'Balance Sheet'!$P$43</f>
        <v>6.415319367204278E-2</v>
      </c>
      <c r="G40" s="171">
        <f>+'Balance Sheet'!R40/'Balance Sheet'!$R$43</f>
        <v>6.3555908212076948E-2</v>
      </c>
      <c r="H40" s="171">
        <f>+'Balance Sheet'!T40/'Balance Sheet'!$T$43</f>
        <v>1.5095065380639858E-2</v>
      </c>
      <c r="I40" s="71" t="s">
        <v>140</v>
      </c>
      <c r="J40" s="171">
        <f>+'Balance Sheet'!H36/'Balance Sheet'!H37</f>
        <v>1.343003835454696E-3</v>
      </c>
      <c r="K40" s="171">
        <f>+'Balance Sheet'!J36/'Balance Sheet'!J37</f>
        <v>0</v>
      </c>
      <c r="L40" s="171">
        <v>0</v>
      </c>
      <c r="O40" s="82"/>
      <c r="V40" s="178"/>
      <c r="W40" s="178"/>
      <c r="X40" s="178"/>
      <c r="Y40" s="178"/>
    </row>
    <row r="41" spans="1:25" ht="15.75" thickBot="1" x14ac:dyDescent="0.3">
      <c r="A41" s="70"/>
      <c r="B41" s="171"/>
      <c r="C41" s="171"/>
      <c r="D41" s="171"/>
      <c r="E41" s="70" t="s">
        <v>144</v>
      </c>
      <c r="F41" s="174">
        <f>SUM(F38:F40)</f>
        <v>0.45148482713634652</v>
      </c>
      <c r="G41" s="174">
        <f>SUM(G38:G40)</f>
        <v>0.20954758488135472</v>
      </c>
      <c r="H41" s="174">
        <f>SUM(H38:H40)</f>
        <v>0.18144438707778243</v>
      </c>
      <c r="I41" s="70"/>
      <c r="J41" s="171"/>
      <c r="K41" s="171"/>
      <c r="L41" s="171"/>
      <c r="O41" s="71" t="s">
        <v>111</v>
      </c>
      <c r="V41" s="178"/>
      <c r="W41" s="178"/>
      <c r="X41" s="178"/>
      <c r="Y41" s="178"/>
    </row>
    <row r="42" spans="1:25" ht="15.75" thickTop="1" x14ac:dyDescent="0.25">
      <c r="A42" s="70"/>
      <c r="B42" s="171"/>
      <c r="C42" s="171"/>
      <c r="D42" s="171"/>
      <c r="E42" s="70"/>
      <c r="I42" s="70"/>
      <c r="J42" s="171"/>
      <c r="K42" s="171"/>
      <c r="L42" s="171"/>
      <c r="O42" s="71" t="s">
        <v>114</v>
      </c>
      <c r="V42" s="178"/>
      <c r="W42" s="178"/>
      <c r="X42" s="178"/>
      <c r="Y42" s="178"/>
    </row>
    <row r="43" spans="1:25" x14ac:dyDescent="0.25">
      <c r="A43" s="71" t="s">
        <v>141</v>
      </c>
      <c r="B43" s="176">
        <v>0.99999999999999989</v>
      </c>
      <c r="C43" s="176">
        <v>1</v>
      </c>
      <c r="D43" s="176">
        <v>1</v>
      </c>
      <c r="E43" s="71" t="s">
        <v>145</v>
      </c>
      <c r="F43" s="175">
        <f>+F41+F35</f>
        <v>1</v>
      </c>
      <c r="G43" s="175">
        <f t="shared" ref="G43:H43" si="35">+G41+G35</f>
        <v>1</v>
      </c>
      <c r="H43" s="175">
        <f t="shared" si="35"/>
        <v>1</v>
      </c>
      <c r="I43" s="71" t="s">
        <v>141</v>
      </c>
      <c r="J43" s="176">
        <f>+J40+J35</f>
        <v>0.99999999999999989</v>
      </c>
      <c r="K43" s="176">
        <f t="shared" ref="K43:L43" si="36">+K40+K35</f>
        <v>1</v>
      </c>
      <c r="L43" s="176">
        <f t="shared" si="36"/>
        <v>1</v>
      </c>
      <c r="M43" s="168"/>
      <c r="O43" s="70" t="s">
        <v>20</v>
      </c>
      <c r="P43" s="70"/>
      <c r="Q43" s="120">
        <v>8934591</v>
      </c>
      <c r="R43" s="70"/>
      <c r="S43" s="120">
        <v>19488866</v>
      </c>
      <c r="T43" s="84"/>
      <c r="U43" s="144">
        <v>12850648</v>
      </c>
      <c r="V43" s="179">
        <f t="shared" ref="V43:V44" si="37">S43-Q43</f>
        <v>10554275</v>
      </c>
      <c r="W43" s="180">
        <f t="shared" ref="W43:W45" si="38">V43/Q43</f>
        <v>1.1812823888636872</v>
      </c>
      <c r="X43" s="179">
        <f t="shared" ref="X43:X45" si="39">U43-S43</f>
        <v>-6638218</v>
      </c>
      <c r="Y43" s="180">
        <f t="shared" ref="Y43:Y45" si="40">X43/S43</f>
        <v>-0.34061591885335968</v>
      </c>
    </row>
    <row r="44" spans="1:25" x14ac:dyDescent="0.25">
      <c r="O44" s="70" t="s">
        <v>118</v>
      </c>
      <c r="P44" s="70"/>
      <c r="Q44" s="120">
        <v>0</v>
      </c>
      <c r="R44" s="70"/>
      <c r="S44" s="120">
        <v>470311</v>
      </c>
      <c r="T44" s="84"/>
      <c r="U44" s="144">
        <v>568429</v>
      </c>
      <c r="V44" s="179">
        <f t="shared" si="37"/>
        <v>470311</v>
      </c>
      <c r="W44" s="180">
        <v>0</v>
      </c>
      <c r="X44" s="179">
        <f t="shared" si="39"/>
        <v>98118</v>
      </c>
      <c r="Y44" s="180">
        <f t="shared" si="40"/>
        <v>0.20862365541099401</v>
      </c>
    </row>
    <row r="45" spans="1:25" x14ac:dyDescent="0.25">
      <c r="F45" s="170"/>
      <c r="G45" s="170"/>
      <c r="H45" s="170"/>
      <c r="O45" s="79" t="s">
        <v>21</v>
      </c>
      <c r="P45" s="70"/>
      <c r="Q45" s="120">
        <v>36838</v>
      </c>
      <c r="R45" s="70"/>
      <c r="S45" s="120">
        <v>264513</v>
      </c>
      <c r="T45" s="84"/>
      <c r="U45" s="144">
        <v>198384</v>
      </c>
      <c r="V45" s="179">
        <f>S45-Q45</f>
        <v>227675</v>
      </c>
      <c r="W45" s="180">
        <f t="shared" si="38"/>
        <v>6.1804386774526305</v>
      </c>
      <c r="X45" s="179">
        <f t="shared" si="39"/>
        <v>-66129</v>
      </c>
      <c r="Y45" s="180">
        <f t="shared" si="40"/>
        <v>-0.25000283539939439</v>
      </c>
    </row>
    <row r="46" spans="1:25" x14ac:dyDescent="0.25">
      <c r="F46" s="173"/>
      <c r="G46" s="173"/>
      <c r="H46" s="173"/>
      <c r="V46" s="178"/>
      <c r="W46" s="178"/>
      <c r="X46" s="178"/>
      <c r="Y46" s="178"/>
    </row>
    <row r="47" spans="1:25" x14ac:dyDescent="0.25">
      <c r="O47" s="80" t="s">
        <v>119</v>
      </c>
      <c r="P47" s="70"/>
      <c r="Q47" s="70"/>
      <c r="R47" s="70"/>
      <c r="S47" s="70"/>
      <c r="T47" s="84"/>
      <c r="U47" s="84"/>
      <c r="V47" s="178"/>
      <c r="W47" s="178"/>
      <c r="X47" s="178"/>
      <c r="Y47" s="178"/>
    </row>
    <row r="48" spans="1:25" x14ac:dyDescent="0.25">
      <c r="O48" s="70" t="s">
        <v>22</v>
      </c>
      <c r="P48" s="120">
        <v>1648</v>
      </c>
      <c r="Q48" s="70"/>
      <c r="R48" s="120">
        <v>9452</v>
      </c>
      <c r="S48" s="70"/>
      <c r="T48" s="144">
        <v>7089</v>
      </c>
      <c r="U48" s="84"/>
      <c r="V48" s="179">
        <f>R48-P48</f>
        <v>7804</v>
      </c>
      <c r="W48" s="180">
        <f>V48/P48</f>
        <v>4.7354368932038833</v>
      </c>
      <c r="X48" s="179">
        <f>T48-R48</f>
        <v>-2363</v>
      </c>
      <c r="Y48" s="180">
        <f>X48/T48</f>
        <v>-0.33333333333333331</v>
      </c>
    </row>
    <row r="49" spans="15:25" x14ac:dyDescent="0.25">
      <c r="O49" s="70" t="s">
        <v>23</v>
      </c>
      <c r="P49" s="145">
        <v>730</v>
      </c>
      <c r="Q49" s="107">
        <f>SUM(P48:P49)</f>
        <v>2378</v>
      </c>
      <c r="R49" s="145">
        <v>12785</v>
      </c>
      <c r="S49" s="107">
        <f>SUM(R48:R49)</f>
        <v>22237</v>
      </c>
      <c r="T49" s="145">
        <v>9589</v>
      </c>
      <c r="U49" s="157">
        <f>SUM(T48:T49)</f>
        <v>16678</v>
      </c>
      <c r="V49" s="179">
        <f t="shared" ref="V49" si="41">S49-Q49</f>
        <v>19859</v>
      </c>
      <c r="W49" s="180">
        <f>V49/P49</f>
        <v>27.204109589041096</v>
      </c>
      <c r="X49" s="179">
        <f>T49-R49</f>
        <v>-3196</v>
      </c>
      <c r="Y49" s="180">
        <f t="shared" ref="Y49" si="42">X49/S49</f>
        <v>-0.14372442325853307</v>
      </c>
    </row>
    <row r="50" spans="15:25" x14ac:dyDescent="0.25">
      <c r="O50" s="80" t="s">
        <v>122</v>
      </c>
      <c r="P50" s="70"/>
      <c r="Q50" s="70"/>
      <c r="R50" s="70"/>
      <c r="S50" s="70"/>
      <c r="T50" s="84"/>
      <c r="U50" s="84"/>
      <c r="V50" s="178"/>
      <c r="W50" s="178"/>
      <c r="X50" s="178"/>
      <c r="Y50" s="178"/>
    </row>
    <row r="51" spans="15:25" x14ac:dyDescent="0.25">
      <c r="O51" s="70" t="s">
        <v>26</v>
      </c>
      <c r="P51" s="120">
        <v>1648</v>
      </c>
      <c r="Q51" s="70"/>
      <c r="R51" s="120">
        <v>9452</v>
      </c>
      <c r="S51" s="70"/>
      <c r="T51" s="144">
        <v>7089</v>
      </c>
      <c r="U51" s="84"/>
      <c r="V51" s="179">
        <f>R51-P51</f>
        <v>7804</v>
      </c>
      <c r="W51" s="180">
        <f>V51/P51</f>
        <v>4.7354368932038833</v>
      </c>
      <c r="X51" s="179">
        <f>T51-R51</f>
        <v>-2363</v>
      </c>
      <c r="Y51" s="180">
        <f>X51/T51</f>
        <v>-0.33333333333333331</v>
      </c>
    </row>
    <row r="52" spans="15:25" x14ac:dyDescent="0.25">
      <c r="O52" s="70" t="s">
        <v>27</v>
      </c>
      <c r="P52" s="145">
        <v>730</v>
      </c>
      <c r="Q52" s="107">
        <f>SUM(P51:P52)</f>
        <v>2378</v>
      </c>
      <c r="R52" s="145">
        <v>12785</v>
      </c>
      <c r="S52" s="107">
        <f>SUM(R51:R52)</f>
        <v>22237</v>
      </c>
      <c r="T52" s="145">
        <v>9589</v>
      </c>
      <c r="U52" s="157">
        <f>SUM(T51:T52)</f>
        <v>16678</v>
      </c>
      <c r="V52" s="179">
        <f t="shared" ref="V52" si="43">S52-Q52</f>
        <v>19859</v>
      </c>
      <c r="W52" s="180">
        <f>V52/P52</f>
        <v>27.204109589041096</v>
      </c>
      <c r="X52" s="179">
        <f>T52-R52</f>
        <v>-3196</v>
      </c>
      <c r="Y52" s="180">
        <f t="shared" ref="Y52" si="44">X52/S52</f>
        <v>-0.14372442325853307</v>
      </c>
    </row>
    <row r="53" spans="15:25" x14ac:dyDescent="0.25">
      <c r="O53" s="70"/>
      <c r="P53" s="144"/>
      <c r="Q53" s="107"/>
      <c r="R53" s="144"/>
      <c r="S53" s="107"/>
      <c r="T53" s="144"/>
      <c r="U53" s="157"/>
      <c r="V53" s="178"/>
      <c r="W53" s="178"/>
      <c r="X53" s="178"/>
      <c r="Y53" s="178"/>
    </row>
    <row r="54" spans="15:25" x14ac:dyDescent="0.25">
      <c r="O54" s="77" t="s">
        <v>125</v>
      </c>
      <c r="P54" s="70"/>
      <c r="Q54" s="70"/>
      <c r="R54" s="70"/>
      <c r="S54" s="70"/>
      <c r="T54" s="84"/>
      <c r="U54" s="84"/>
      <c r="V54" s="178"/>
      <c r="W54" s="178"/>
      <c r="X54" s="178"/>
      <c r="Y54" s="178"/>
    </row>
    <row r="55" spans="15:25" x14ac:dyDescent="0.25">
      <c r="O55" s="70" t="s">
        <v>126</v>
      </c>
      <c r="P55" s="120">
        <v>0</v>
      </c>
      <c r="Q55" s="70"/>
      <c r="R55" s="120">
        <v>3205440</v>
      </c>
      <c r="S55" s="70"/>
      <c r="T55" s="144">
        <v>6011540</v>
      </c>
      <c r="U55" s="84"/>
      <c r="V55" s="179">
        <f>R55-P55</f>
        <v>3205440</v>
      </c>
      <c r="W55" s="180">
        <v>0</v>
      </c>
      <c r="X55" s="179">
        <f t="shared" ref="X55:X57" si="45">T55-R55</f>
        <v>2806100</v>
      </c>
      <c r="Y55" s="180">
        <f>X55/T55</f>
        <v>0.46678554912717873</v>
      </c>
    </row>
    <row r="56" spans="15:25" x14ac:dyDescent="0.25">
      <c r="O56" s="70" t="s">
        <v>24</v>
      </c>
      <c r="P56" s="120">
        <v>7541</v>
      </c>
      <c r="Q56" s="70"/>
      <c r="R56" s="120">
        <v>132256</v>
      </c>
      <c r="S56" s="70"/>
      <c r="T56" s="144">
        <v>99192</v>
      </c>
      <c r="U56" s="84"/>
      <c r="V56" s="179">
        <f t="shared" ref="V56:V57" si="46">R56-P56</f>
        <v>124715</v>
      </c>
      <c r="W56" s="180">
        <f t="shared" ref="W56" si="47">V56/P56</f>
        <v>16.538257525527118</v>
      </c>
      <c r="X56" s="179">
        <f t="shared" si="45"/>
        <v>-33064</v>
      </c>
      <c r="Y56" s="180">
        <f>X56/T56</f>
        <v>-0.33333333333333331</v>
      </c>
    </row>
    <row r="57" spans="15:25" x14ac:dyDescent="0.25">
      <c r="O57" s="70" t="s">
        <v>25</v>
      </c>
      <c r="P57" s="145">
        <v>3519</v>
      </c>
      <c r="Q57" s="107">
        <f>SUM(P56:P57)</f>
        <v>11060</v>
      </c>
      <c r="R57" s="145">
        <v>61630</v>
      </c>
      <c r="S57" s="107">
        <f>SUM(R55:R57)</f>
        <v>3399326</v>
      </c>
      <c r="T57" s="145">
        <v>46200</v>
      </c>
      <c r="U57" s="157">
        <f>SUM(T55:T57)</f>
        <v>6156932</v>
      </c>
      <c r="V57" s="179">
        <f t="shared" si="46"/>
        <v>58111</v>
      </c>
      <c r="W57" s="180">
        <f>V57/P57</f>
        <v>16.513498152884342</v>
      </c>
      <c r="X57" s="179">
        <f t="shared" si="45"/>
        <v>-15430</v>
      </c>
      <c r="Y57" s="180">
        <f t="shared" ref="Y57" si="48">X57/S57</f>
        <v>-4.5391351109013963E-3</v>
      </c>
    </row>
    <row r="58" spans="15:25" x14ac:dyDescent="0.25">
      <c r="S58" s="84"/>
      <c r="V58" s="178"/>
      <c r="W58" s="178"/>
      <c r="X58" s="178"/>
      <c r="Y58" s="180"/>
    </row>
    <row r="59" spans="15:25" x14ac:dyDescent="0.25">
      <c r="O59" s="70" t="s">
        <v>129</v>
      </c>
      <c r="P59" s="70"/>
      <c r="Q59" s="120">
        <v>0</v>
      </c>
      <c r="R59" s="70"/>
      <c r="S59" s="120">
        <v>677640</v>
      </c>
      <c r="T59" s="84"/>
      <c r="U59" s="144">
        <v>721480</v>
      </c>
      <c r="V59" s="179">
        <f>S59-Q59</f>
        <v>677640</v>
      </c>
      <c r="W59" s="180">
        <v>0</v>
      </c>
      <c r="X59" s="179">
        <f>U59-S59</f>
        <v>43840</v>
      </c>
      <c r="Y59" s="180">
        <f t="shared" ref="Y59" si="49">X59/S59</f>
        <v>6.4695118351927275E-2</v>
      </c>
    </row>
    <row r="60" spans="15:25" x14ac:dyDescent="0.25">
      <c r="O60" s="77" t="s">
        <v>130</v>
      </c>
      <c r="P60" s="70"/>
      <c r="Q60" s="70"/>
      <c r="R60" s="70"/>
      <c r="S60" s="70"/>
      <c r="T60" s="84"/>
      <c r="U60" s="84"/>
      <c r="V60" s="178"/>
      <c r="W60" s="178"/>
      <c r="X60" s="178"/>
      <c r="Y60" s="178"/>
    </row>
    <row r="61" spans="15:25" x14ac:dyDescent="0.25">
      <c r="O61" s="70" t="s">
        <v>32</v>
      </c>
      <c r="P61" s="120">
        <v>0</v>
      </c>
      <c r="Q61" s="70"/>
      <c r="R61" s="120">
        <v>504000</v>
      </c>
      <c r="S61" s="70"/>
      <c r="T61" s="144">
        <v>459000</v>
      </c>
      <c r="U61" s="84"/>
      <c r="V61" s="179">
        <f>R61-P61</f>
        <v>504000</v>
      </c>
      <c r="W61" s="180">
        <v>0</v>
      </c>
      <c r="X61" s="179">
        <f>T61-R61</f>
        <v>-45000</v>
      </c>
      <c r="Y61" s="180">
        <f>X61/T61</f>
        <v>-9.8039215686274508E-2</v>
      </c>
    </row>
    <row r="62" spans="15:25" x14ac:dyDescent="0.25">
      <c r="O62" s="70" t="s">
        <v>33</v>
      </c>
      <c r="P62" s="145">
        <v>6000000</v>
      </c>
      <c r="Q62" s="107">
        <f>SUM(P61:P62)</f>
        <v>6000000</v>
      </c>
      <c r="R62" s="145">
        <v>15250000</v>
      </c>
      <c r="S62" s="107">
        <f>SUM(R61:R62)</f>
        <v>15754000</v>
      </c>
      <c r="T62" s="145">
        <v>15000000</v>
      </c>
      <c r="U62" s="157">
        <f>SUM(T61:T62)</f>
        <v>15459000</v>
      </c>
      <c r="V62" s="179">
        <f t="shared" ref="V62:V63" si="50">S62-Q62</f>
        <v>9754000</v>
      </c>
      <c r="W62" s="180">
        <f t="shared" ref="W62:W63" si="51">V62/Q62</f>
        <v>1.6256666666666666</v>
      </c>
      <c r="X62" s="179">
        <f t="shared" ref="X62:X63" si="52">U62-S62</f>
        <v>-295000</v>
      </c>
      <c r="Y62" s="180">
        <f t="shared" ref="Y62:Y63" si="53">X62/S62</f>
        <v>-1.8725403072235622E-2</v>
      </c>
    </row>
    <row r="63" spans="15:25" ht="15.75" thickBot="1" x14ac:dyDescent="0.3">
      <c r="O63" s="81"/>
      <c r="P63" s="70"/>
      <c r="Q63" s="158">
        <f>SUM(Q43:Q62)</f>
        <v>14987245</v>
      </c>
      <c r="R63" s="70"/>
      <c r="S63" s="158">
        <f>SUM(S43:S62)</f>
        <v>40099130</v>
      </c>
      <c r="T63" s="84"/>
      <c r="U63" s="158">
        <f>SUM(U43:U62)</f>
        <v>35988229</v>
      </c>
      <c r="V63" s="179">
        <f t="shared" si="50"/>
        <v>25111885</v>
      </c>
      <c r="W63" s="180">
        <f t="shared" si="51"/>
        <v>1.6755504430600821</v>
      </c>
      <c r="X63" s="179">
        <f t="shared" si="52"/>
        <v>-4110901</v>
      </c>
      <c r="Y63" s="180">
        <f t="shared" si="53"/>
        <v>-0.10251845862990044</v>
      </c>
    </row>
    <row r="64" spans="15:25" ht="15.75" thickTop="1" x14ac:dyDescent="0.25">
      <c r="O64" s="71" t="s">
        <v>132</v>
      </c>
      <c r="P64" s="70"/>
      <c r="Q64" s="70"/>
      <c r="R64" s="70"/>
      <c r="S64" s="70"/>
      <c r="T64" s="84"/>
      <c r="U64" s="84"/>
      <c r="V64" s="178"/>
      <c r="W64" s="178"/>
      <c r="X64" s="178"/>
      <c r="Y64" s="178"/>
    </row>
    <row r="65" spans="15:25" x14ac:dyDescent="0.25">
      <c r="O65" s="70" t="s">
        <v>29</v>
      </c>
      <c r="P65" s="70"/>
      <c r="Q65" s="120">
        <v>12500000</v>
      </c>
      <c r="R65" s="70"/>
      <c r="S65" s="120">
        <v>52231360</v>
      </c>
      <c r="T65" s="84"/>
      <c r="U65" s="144">
        <v>47481737</v>
      </c>
      <c r="V65" s="179">
        <f t="shared" ref="V65:V67" si="54">S65-Q65</f>
        <v>39731360</v>
      </c>
      <c r="W65" s="180">
        <f t="shared" ref="W65:W67" si="55">V65/Q65</f>
        <v>3.1785087999999999</v>
      </c>
      <c r="X65" s="179">
        <f t="shared" ref="X65:X67" si="56">U65-S65</f>
        <v>-4749623</v>
      </c>
      <c r="Y65" s="180">
        <f t="shared" ref="Y65:Y67" si="57">X65/S65</f>
        <v>-9.0934316089031575E-2</v>
      </c>
    </row>
    <row r="66" spans="15:25" ht="15.75" thickBot="1" x14ac:dyDescent="0.3">
      <c r="O66" s="81" t="s">
        <v>135</v>
      </c>
      <c r="P66" s="70"/>
      <c r="Q66" s="159">
        <f>Q65</f>
        <v>12500000</v>
      </c>
      <c r="R66" s="70"/>
      <c r="S66" s="158">
        <f>S65</f>
        <v>52231360</v>
      </c>
      <c r="T66" s="84"/>
      <c r="U66" s="158">
        <f>U65</f>
        <v>47481737</v>
      </c>
      <c r="V66" s="179">
        <f t="shared" si="54"/>
        <v>39731360</v>
      </c>
      <c r="W66" s="180">
        <f t="shared" si="55"/>
        <v>3.1785087999999999</v>
      </c>
      <c r="X66" s="179">
        <f t="shared" si="56"/>
        <v>-4749623</v>
      </c>
      <c r="Y66" s="180">
        <f t="shared" si="57"/>
        <v>-9.0934316089031575E-2</v>
      </c>
    </row>
    <row r="67" spans="15:25" ht="16.5" thickTop="1" thickBot="1" x14ac:dyDescent="0.3">
      <c r="O67" s="81" t="s">
        <v>136</v>
      </c>
      <c r="P67" s="70"/>
      <c r="Q67" s="158">
        <f>Q63+Q66</f>
        <v>27487245</v>
      </c>
      <c r="R67" s="70"/>
      <c r="S67" s="158">
        <f>S63+S66</f>
        <v>92330490</v>
      </c>
      <c r="T67" s="84"/>
      <c r="U67" s="158">
        <f>U63+U66</f>
        <v>83469966</v>
      </c>
      <c r="V67" s="179">
        <f t="shared" si="54"/>
        <v>64843245</v>
      </c>
      <c r="W67" s="180">
        <f t="shared" si="55"/>
        <v>2.359030342982718</v>
      </c>
      <c r="X67" s="179">
        <f t="shared" si="56"/>
        <v>-8860524</v>
      </c>
      <c r="Y67" s="180">
        <f t="shared" si="57"/>
        <v>-9.5965308967817672E-2</v>
      </c>
    </row>
    <row r="68" spans="15:25" ht="15.75" thickTop="1" x14ac:dyDescent="0.25">
      <c r="O68" s="81" t="s">
        <v>137</v>
      </c>
      <c r="P68" s="70"/>
      <c r="Q68" s="157"/>
      <c r="R68" s="70"/>
      <c r="S68" s="157"/>
      <c r="T68" s="84"/>
      <c r="U68" s="157"/>
      <c r="V68" s="178"/>
      <c r="W68" s="178"/>
      <c r="X68" s="178"/>
      <c r="Y68" s="178"/>
    </row>
    <row r="69" spans="15:25" x14ac:dyDescent="0.25">
      <c r="O69" s="160" t="s">
        <v>139</v>
      </c>
      <c r="P69" s="70"/>
      <c r="Q69" s="157">
        <v>0</v>
      </c>
      <c r="R69" s="70"/>
      <c r="S69" s="157">
        <v>12762360</v>
      </c>
      <c r="T69" s="84"/>
      <c r="U69" s="157">
        <v>12040880</v>
      </c>
      <c r="V69" s="179">
        <f t="shared" ref="V69:V70" si="58">S69-Q69</f>
        <v>12762360</v>
      </c>
      <c r="W69" s="180">
        <v>0</v>
      </c>
      <c r="X69" s="179">
        <f t="shared" ref="X69:X70" si="59">U69-S69</f>
        <v>-721480</v>
      </c>
      <c r="Y69" s="180">
        <f>X69/S69</f>
        <v>-5.6531864012612086E-2</v>
      </c>
    </row>
    <row r="70" spans="15:25" ht="15.75" thickBot="1" x14ac:dyDescent="0.3">
      <c r="O70" s="71" t="s">
        <v>213</v>
      </c>
      <c r="P70" s="70"/>
      <c r="Q70" s="157"/>
      <c r="R70" s="70"/>
      <c r="S70" s="158">
        <f>S69</f>
        <v>12762360</v>
      </c>
      <c r="T70" s="84"/>
      <c r="U70" s="158">
        <f>U69</f>
        <v>12040880</v>
      </c>
      <c r="V70" s="179">
        <f t="shared" si="58"/>
        <v>12762360</v>
      </c>
      <c r="W70" s="180">
        <v>0</v>
      </c>
      <c r="X70" s="179">
        <f t="shared" si="59"/>
        <v>-721480</v>
      </c>
      <c r="Y70" s="180">
        <f>X70/S70</f>
        <v>-5.6531864012612086E-2</v>
      </c>
    </row>
    <row r="71" spans="15:25" ht="15.75" thickTop="1" x14ac:dyDescent="0.25">
      <c r="O71" s="71"/>
      <c r="P71" s="70"/>
      <c r="Q71" s="157"/>
      <c r="R71" s="70"/>
      <c r="S71" s="157"/>
      <c r="T71" s="84"/>
      <c r="U71" s="157"/>
      <c r="V71" s="178"/>
      <c r="W71" s="178"/>
      <c r="X71" s="178"/>
      <c r="Y71" s="178"/>
    </row>
    <row r="72" spans="15:25" x14ac:dyDescent="0.25">
      <c r="O72" s="71" t="s">
        <v>142</v>
      </c>
      <c r="P72" s="70"/>
      <c r="Q72" s="70"/>
      <c r="R72" s="70"/>
      <c r="S72" s="70"/>
      <c r="T72" s="84"/>
      <c r="U72" s="84"/>
      <c r="V72" s="178"/>
      <c r="W72" s="178"/>
      <c r="X72" s="178"/>
      <c r="Y72" s="178"/>
    </row>
    <row r="73" spans="15:25" x14ac:dyDescent="0.25">
      <c r="O73" s="70" t="s">
        <v>35</v>
      </c>
      <c r="P73" s="70"/>
      <c r="Q73" s="120">
        <v>10131250</v>
      </c>
      <c r="R73" s="70"/>
      <c r="S73" s="120">
        <v>10131250</v>
      </c>
      <c r="T73" s="84"/>
      <c r="U73" s="144">
        <v>10131250</v>
      </c>
      <c r="V73" s="179">
        <f t="shared" ref="V73:V78" si="60">S73-Q73</f>
        <v>0</v>
      </c>
      <c r="W73" s="180">
        <f t="shared" ref="W73:W78" si="61">V73/Q73</f>
        <v>0</v>
      </c>
      <c r="X73" s="179">
        <f t="shared" ref="X73:X78" si="62">U73-S73</f>
        <v>0</v>
      </c>
      <c r="Y73" s="180">
        <f t="shared" ref="Y73:Y78" si="63">X73/S73</f>
        <v>0</v>
      </c>
    </row>
    <row r="74" spans="15:25" x14ac:dyDescent="0.25">
      <c r="O74" s="70" t="s">
        <v>36</v>
      </c>
      <c r="P74" s="70"/>
      <c r="Q74" s="120">
        <v>9278750</v>
      </c>
      <c r="R74" s="120"/>
      <c r="S74" s="120">
        <v>9278750</v>
      </c>
      <c r="T74" s="84"/>
      <c r="U74" s="144">
        <v>9278750</v>
      </c>
      <c r="V74" s="179">
        <f t="shared" si="60"/>
        <v>0</v>
      </c>
      <c r="W74" s="180">
        <f t="shared" si="61"/>
        <v>0</v>
      </c>
      <c r="X74" s="179">
        <f t="shared" si="62"/>
        <v>0</v>
      </c>
      <c r="Y74" s="180">
        <f t="shared" si="63"/>
        <v>0</v>
      </c>
    </row>
    <row r="75" spans="15:25" x14ac:dyDescent="0.25">
      <c r="O75" s="70" t="s">
        <v>143</v>
      </c>
      <c r="P75" s="70"/>
      <c r="Q75" s="98">
        <v>3214851</v>
      </c>
      <c r="R75" s="98"/>
      <c r="S75" s="98">
        <v>8449935</v>
      </c>
      <c r="T75" s="161"/>
      <c r="U75" s="161">
        <v>1761325</v>
      </c>
      <c r="V75" s="179">
        <f>S75-Q75</f>
        <v>5235084</v>
      </c>
      <c r="W75" s="180">
        <f>V75/Q75</f>
        <v>1.6284064175913595</v>
      </c>
      <c r="X75" s="179">
        <f t="shared" si="62"/>
        <v>-6688610</v>
      </c>
      <c r="Y75" s="180">
        <f t="shared" si="63"/>
        <v>-0.79155756819431156</v>
      </c>
    </row>
    <row r="76" spans="15:25" ht="15.75" thickBot="1" x14ac:dyDescent="0.3">
      <c r="O76" s="70" t="s">
        <v>144</v>
      </c>
      <c r="P76" s="70"/>
      <c r="Q76" s="158">
        <f>SUM(Q73:Q75)</f>
        <v>22624851</v>
      </c>
      <c r="R76" s="107"/>
      <c r="S76" s="158">
        <f t="shared" ref="S76" si="64">SUM(S73:S75)</f>
        <v>27859935</v>
      </c>
      <c r="T76" s="157"/>
      <c r="U76" s="158">
        <f t="shared" ref="U76" si="65">SUM(U73:U75)</f>
        <v>21171325</v>
      </c>
      <c r="V76" s="179">
        <f t="shared" si="60"/>
        <v>5235084</v>
      </c>
      <c r="W76" s="180">
        <f t="shared" si="61"/>
        <v>0.23138645200359551</v>
      </c>
      <c r="X76" s="179">
        <f t="shared" si="62"/>
        <v>-6688610</v>
      </c>
      <c r="Y76" s="180">
        <f t="shared" si="63"/>
        <v>-0.24007988532636562</v>
      </c>
    </row>
    <row r="77" spans="15:25" ht="15.75" thickTop="1" x14ac:dyDescent="0.25">
      <c r="O77" s="70"/>
      <c r="P77" s="70"/>
      <c r="Q77" s="107"/>
      <c r="R77" s="70"/>
      <c r="S77" s="70"/>
      <c r="T77" s="84"/>
      <c r="U77" s="84"/>
      <c r="V77" s="179"/>
      <c r="W77" s="180"/>
      <c r="X77" s="179"/>
      <c r="Y77" s="180"/>
    </row>
    <row r="78" spans="15:25" ht="15.75" thickBot="1" x14ac:dyDescent="0.3">
      <c r="O78" s="71" t="s">
        <v>145</v>
      </c>
      <c r="P78" s="70"/>
      <c r="Q78" s="158">
        <f>Q67+Q76+Q70</f>
        <v>50112096</v>
      </c>
      <c r="R78" s="70"/>
      <c r="S78" s="158">
        <f>S67+S76+S69</f>
        <v>132952785</v>
      </c>
      <c r="T78" s="84"/>
      <c r="U78" s="158">
        <f>U67+U76+U70</f>
        <v>116682171</v>
      </c>
      <c r="V78" s="179">
        <f t="shared" si="60"/>
        <v>82840689</v>
      </c>
      <c r="W78" s="180">
        <f t="shared" si="61"/>
        <v>1.6531076449087263</v>
      </c>
      <c r="X78" s="179">
        <f t="shared" si="62"/>
        <v>-16270614</v>
      </c>
      <c r="Y78" s="180">
        <f t="shared" si="63"/>
        <v>-0.12237888811430313</v>
      </c>
    </row>
    <row r="79" spans="15:25" ht="15.75" thickTop="1" x14ac:dyDescent="0.25">
      <c r="V79" s="178"/>
      <c r="W79" s="178"/>
      <c r="X79" s="178"/>
      <c r="Y79" s="178"/>
    </row>
  </sheetData>
  <mergeCells count="13">
    <mergeCell ref="A2:H2"/>
    <mergeCell ref="A3:H3"/>
    <mergeCell ref="A4:H4"/>
    <mergeCell ref="V6:W6"/>
    <mergeCell ref="X6:Y6"/>
    <mergeCell ref="O2:W2"/>
    <mergeCell ref="O3:W3"/>
    <mergeCell ref="O4:W4"/>
    <mergeCell ref="P5:Q5"/>
    <mergeCell ref="R5:S5"/>
    <mergeCell ref="T5:U5"/>
    <mergeCell ref="V5:W5"/>
    <mergeCell ref="X5:Y5"/>
  </mergeCells>
  <pageMargins left="0.7" right="0.7" top="0.75" bottom="0.75" header="0.3" footer="0.3"/>
  <pageSetup scale="73" fitToHeight="0" orientation="landscape" horizontalDpi="4294967293" r:id="rId1"/>
  <rowBreaks count="1" manualBreakCount="1">
    <brk id="46" min="14" max="24" man="1"/>
  </rowBreaks>
  <ignoredErrors>
    <ignoredError sqref="Q26 S26 U26 S39 U39 V36:V37 X36 S63 Q63 U63 J26:L26 J34:L34 Q39 K40 Q78 V70 B26:D26 B33:D33" emptyCellReference="1"/>
    <ignoredError sqref="T32 W16:W17 W19:X19 W21:X21 W26:X26 W29:W30 W32:W33 W39:X39 W43:X43 W45:X45 W62:W63 X29:X33 X62:X63 W65:X67 W73:X76 W78:X78 W48 W51 W56:W57 W20:X20 W24:X24 V31 W10:X13 V18 X18:Y18" formula="1"/>
    <ignoredError sqref="Q5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Trial Balance</vt:lpstr>
      <vt:lpstr>Income Statement</vt:lpstr>
      <vt:lpstr>Balance Sheet</vt:lpstr>
      <vt:lpstr>Statement of Retained Earnings</vt:lpstr>
      <vt:lpstr>Statement of Cash Flows</vt:lpstr>
      <vt:lpstr>Statement of Cash Flows AK</vt:lpstr>
      <vt:lpstr>Ratios</vt:lpstr>
      <vt:lpstr>IS Analysis</vt:lpstr>
      <vt:lpstr>BS Analysis</vt:lpstr>
      <vt:lpstr>'Balance Sheet'!Print_Area</vt:lpstr>
      <vt:lpstr>'BS Analysis'!Print_Area</vt:lpstr>
      <vt:lpstr>'Income Statement'!Print_Area</vt:lpstr>
      <vt:lpstr>'IS Analysis'!Print_Area</vt:lpstr>
      <vt:lpstr>'Statement of Cash Flows'!Print_Area</vt:lpstr>
      <vt:lpstr>'Statement of Cash Flows AK'!Print_Area</vt:lpstr>
      <vt:lpstr>'Statement of Retained Earnings'!Print_Area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Angelina</dc:creator>
  <cp:lastModifiedBy>Angelina</cp:lastModifiedBy>
  <cp:lastPrinted>2017-04-24T02:55:57Z</cp:lastPrinted>
  <dcterms:created xsi:type="dcterms:W3CDTF">2017-04-19T23:09:05Z</dcterms:created>
  <dcterms:modified xsi:type="dcterms:W3CDTF">2017-05-27T18:35:45Z</dcterms:modified>
</cp:coreProperties>
</file>